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d6347c70e292fc/Documents/CFA Society of Los Angeles/CFA Level 2 Fixed Income Review Class/2025/"/>
    </mc:Choice>
  </mc:AlternateContent>
  <xr:revisionPtr revIDLastSave="304" documentId="8_{C4B3A949-31DB-40ED-86D0-FCF07B72974F}" xr6:coauthVersionLast="47" xr6:coauthVersionMax="47" xr10:uidLastSave="{8EC8A667-E670-428E-98F6-C052B823C353}"/>
  <bookViews>
    <workbookView xWindow="3690" yWindow="1245" windowWidth="22515" windowHeight="13770" tabRatio="658" activeTab="3" xr2:uid="{CB505859-33EF-4C7B-A9AD-E58FD111DF5E}"/>
  </bookViews>
  <sheets>
    <sheet name="Title" sheetId="7" r:id="rId1"/>
    <sheet name="LM2 Binary Tree Intros" sheetId="5" r:id="rId2"/>
    <sheet name="Binary Trees, OAS, callables" sheetId="1" r:id="rId3"/>
    <sheet name="CVA Calculation" sheetId="2" r:id="rId4"/>
    <sheet name="Credit Transition Matrix" sheetId="3" r:id="rId5"/>
  </sheets>
  <definedNames>
    <definedName name="OAS">'Binary Trees, OAS, callables'!$D$72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5" l="1"/>
  <c r="D27" i="5"/>
  <c r="D47" i="5"/>
  <c r="C100" i="5"/>
  <c r="E100" i="5"/>
  <c r="E99" i="5"/>
  <c r="E102" i="5"/>
  <c r="E101" i="5"/>
  <c r="C99" i="5"/>
  <c r="D26" i="5"/>
  <c r="E77" i="5"/>
  <c r="E83" i="5"/>
  <c r="C80" i="5" s="1"/>
  <c r="E89" i="5"/>
  <c r="C86" i="5" s="1"/>
  <c r="D24" i="5"/>
  <c r="A83" i="5" l="1"/>
  <c r="G39" i="2"/>
  <c r="J7" i="2"/>
  <c r="B10" i="2"/>
  <c r="B21" i="2"/>
  <c r="K28" i="2"/>
  <c r="K25" i="2"/>
  <c r="C7" i="2"/>
  <c r="H7" i="2"/>
  <c r="I77" i="1"/>
  <c r="E18" i="3" l="1"/>
  <c r="G16" i="1"/>
  <c r="I117" i="1" l="1"/>
  <c r="G119" i="1"/>
  <c r="Q34" i="5" l="1"/>
  <c r="F34" i="5"/>
  <c r="H61" i="5"/>
  <c r="H59" i="5" s="1"/>
  <c r="H55" i="5"/>
  <c r="H53" i="5" s="1"/>
  <c r="H49" i="5"/>
  <c r="H47" i="5" s="1"/>
  <c r="H43" i="5"/>
  <c r="F58" i="5"/>
  <c r="F52" i="5"/>
  <c r="F46" i="5"/>
  <c r="D55" i="5"/>
  <c r="D49" i="5"/>
  <c r="S61" i="5"/>
  <c r="S59" i="5" s="1"/>
  <c r="S55" i="5"/>
  <c r="S53" i="5" s="1"/>
  <c r="S49" i="5"/>
  <c r="S47" i="5" s="1"/>
  <c r="S43" i="5"/>
  <c r="S41" i="5" s="1"/>
  <c r="Q58" i="5"/>
  <c r="Q52" i="5"/>
  <c r="Q46" i="5"/>
  <c r="O55" i="5"/>
  <c r="O49" i="5"/>
  <c r="S24" i="5"/>
  <c r="Q24" i="5"/>
  <c r="O24" i="5"/>
  <c r="H24" i="5"/>
  <c r="F24" i="5"/>
  <c r="S31" i="5"/>
  <c r="H31" i="5"/>
  <c r="S30" i="5"/>
  <c r="H30" i="5"/>
  <c r="S29" i="5"/>
  <c r="P29" i="5"/>
  <c r="H29" i="5"/>
  <c r="F29" i="5"/>
  <c r="S28" i="5"/>
  <c r="P28" i="5"/>
  <c r="H28" i="5"/>
  <c r="F28" i="5"/>
  <c r="S27" i="5"/>
  <c r="P27" i="5"/>
  <c r="N27" i="5"/>
  <c r="H27" i="5"/>
  <c r="F27" i="5"/>
  <c r="S26" i="5"/>
  <c r="P26" i="5"/>
  <c r="N26" i="5"/>
  <c r="H26" i="5"/>
  <c r="F26" i="5"/>
  <c r="C5" i="5"/>
  <c r="C6" i="5" s="1"/>
  <c r="Q56" i="5" l="1"/>
  <c r="Q44" i="5"/>
  <c r="Q50" i="5"/>
  <c r="O53" i="5" s="1"/>
  <c r="F44" i="5"/>
  <c r="F56" i="5"/>
  <c r="F50" i="5"/>
  <c r="D6" i="5"/>
  <c r="C7" i="5"/>
  <c r="D7" i="5" s="1"/>
  <c r="O47" i="5" l="1"/>
  <c r="M50" i="5" s="1"/>
  <c r="D53" i="5"/>
  <c r="F23" i="5"/>
  <c r="Q23" i="5"/>
  <c r="C8" i="5"/>
  <c r="D8" i="5" s="1"/>
  <c r="O23" i="5"/>
  <c r="D23" i="5"/>
  <c r="B50" i="5" l="1"/>
  <c r="C9" i="5"/>
  <c r="D9" i="5" s="1"/>
  <c r="H23" i="5"/>
  <c r="S23" i="5"/>
  <c r="I7" i="1" l="1"/>
  <c r="E17" i="3" l="1"/>
  <c r="B39" i="2" l="1"/>
  <c r="B38" i="2" s="1"/>
  <c r="B22" i="2"/>
  <c r="C39" i="2"/>
  <c r="C38" i="2"/>
  <c r="N40" i="2"/>
  <c r="D40" i="2"/>
  <c r="E40" i="2" s="1"/>
  <c r="G38" i="2"/>
  <c r="J33" i="2"/>
  <c r="J39" i="2" s="1"/>
  <c r="P39" i="2" s="1"/>
  <c r="N23" i="2"/>
  <c r="N22" i="2" s="1"/>
  <c r="N21" i="2" s="1"/>
  <c r="J18" i="2"/>
  <c r="D38" i="2" l="1"/>
  <c r="E38" i="2" s="1"/>
  <c r="H39" i="2"/>
  <c r="G40" i="2" s="1"/>
  <c r="H40" i="2"/>
  <c r="J38" i="2"/>
  <c r="P38" i="2" s="1"/>
  <c r="H38" i="2"/>
  <c r="J40" i="2"/>
  <c r="P40" i="2" s="1"/>
  <c r="Q40" i="2" s="1"/>
  <c r="F38" i="2"/>
  <c r="I38" i="2" s="1"/>
  <c r="D39" i="2"/>
  <c r="E39" i="2" s="1"/>
  <c r="N39" i="2"/>
  <c r="Q39" i="2" s="1"/>
  <c r="F40" i="2"/>
  <c r="K38" i="2" l="1"/>
  <c r="F39" i="2"/>
  <c r="N38" i="2"/>
  <c r="Q38" i="2" s="1"/>
  <c r="Q42" i="2" s="1"/>
  <c r="H8" i="2" l="1"/>
  <c r="G7" i="2"/>
  <c r="G9" i="2" s="1"/>
  <c r="J22" i="2"/>
  <c r="P22" i="2" s="1"/>
  <c r="J23" i="2"/>
  <c r="P23" i="2" s="1"/>
  <c r="J21" i="2"/>
  <c r="P21" i="2" s="1"/>
  <c r="C21" i="2"/>
  <c r="C22" i="2"/>
  <c r="G21" i="2"/>
  <c r="D23" i="2"/>
  <c r="E23" i="2" s="1"/>
  <c r="B9" i="2"/>
  <c r="B8" i="2" s="1"/>
  <c r="B7" i="2" s="1"/>
  <c r="D7" i="2" s="1"/>
  <c r="C10" i="2"/>
  <c r="C8" i="2"/>
  <c r="C9" i="2"/>
  <c r="D11" i="2"/>
  <c r="E7" i="2" l="1"/>
  <c r="F7" i="2" s="1"/>
  <c r="I7" i="2" s="1"/>
  <c r="E11" i="2"/>
  <c r="F11" i="2" s="1"/>
  <c r="G8" i="2"/>
  <c r="I40" i="2"/>
  <c r="K40" i="2" s="1"/>
  <c r="H22" i="2"/>
  <c r="G23" i="2" s="1"/>
  <c r="H21" i="2"/>
  <c r="G22" i="2" s="1"/>
  <c r="H23" i="2"/>
  <c r="P25" i="2"/>
  <c r="D21" i="2"/>
  <c r="E21" i="2" s="1"/>
  <c r="F23" i="2"/>
  <c r="D22" i="2"/>
  <c r="D9" i="2"/>
  <c r="D8" i="2"/>
  <c r="D10" i="2"/>
  <c r="J4" i="2"/>
  <c r="H9" i="2"/>
  <c r="G10" i="2" s="1"/>
  <c r="H10" i="2"/>
  <c r="G11" i="2" s="1"/>
  <c r="H11" i="2"/>
  <c r="J11" i="2" l="1"/>
  <c r="I23" i="2"/>
  <c r="K23" i="2" s="1"/>
  <c r="E10" i="2"/>
  <c r="F10" i="2" s="1"/>
  <c r="I10" i="2" s="1"/>
  <c r="E8" i="2"/>
  <c r="F8" i="2" s="1"/>
  <c r="I8" i="2" s="1"/>
  <c r="E9" i="2"/>
  <c r="F9" i="2" s="1"/>
  <c r="I9" i="2" s="1"/>
  <c r="G42" i="2"/>
  <c r="I39" i="2"/>
  <c r="K39" i="2" s="1"/>
  <c r="K42" i="2" s="1"/>
  <c r="K45" i="2" s="1"/>
  <c r="G25" i="2"/>
  <c r="F21" i="2"/>
  <c r="I21" i="2" s="1"/>
  <c r="K21" i="2" s="1"/>
  <c r="E22" i="2"/>
  <c r="F22" i="2" s="1"/>
  <c r="I22" i="2" s="1"/>
  <c r="J8" i="2"/>
  <c r="I11" i="2"/>
  <c r="G13" i="2"/>
  <c r="K7" i="2"/>
  <c r="J10" i="2"/>
  <c r="J9" i="2"/>
  <c r="K8" i="2" l="1"/>
  <c r="K11" i="2"/>
  <c r="K22" i="2"/>
  <c r="K9" i="2"/>
  <c r="K10" i="2"/>
  <c r="Q129" i="1"/>
  <c r="I129" i="1"/>
  <c r="Q125" i="1"/>
  <c r="O125" i="1"/>
  <c r="I125" i="1"/>
  <c r="G125" i="1"/>
  <c r="M122" i="1"/>
  <c r="E122" i="1"/>
  <c r="Q121" i="1"/>
  <c r="O117" i="1" s="1"/>
  <c r="I121" i="1"/>
  <c r="G117" i="1" s="1"/>
  <c r="O120" i="1"/>
  <c r="G120" i="1"/>
  <c r="O119" i="1"/>
  <c r="Q117" i="1"/>
  <c r="M116" i="1"/>
  <c r="E116" i="1"/>
  <c r="Q113" i="1"/>
  <c r="O113" i="1"/>
  <c r="I113" i="1"/>
  <c r="G113" i="1"/>
  <c r="Q109" i="1"/>
  <c r="I109" i="1"/>
  <c r="I95" i="1"/>
  <c r="I93" i="1" s="1"/>
  <c r="G92" i="1"/>
  <c r="I89" i="1"/>
  <c r="I87" i="1" s="1"/>
  <c r="E89" i="1"/>
  <c r="G86" i="1"/>
  <c r="C86" i="1"/>
  <c r="I83" i="1"/>
  <c r="I81" i="1" s="1"/>
  <c r="E83" i="1"/>
  <c r="G80" i="1"/>
  <c r="I75" i="1"/>
  <c r="I59" i="1"/>
  <c r="I53" i="1"/>
  <c r="G56" i="1" s="1"/>
  <c r="I47" i="1"/>
  <c r="I41" i="1"/>
  <c r="I25" i="1"/>
  <c r="I19" i="1"/>
  <c r="I13" i="1"/>
  <c r="G112" i="1" l="1"/>
  <c r="E115" i="1" s="1"/>
  <c r="C118" i="1" s="1"/>
  <c r="O112" i="1"/>
  <c r="M115" i="1" s="1"/>
  <c r="G44" i="1"/>
  <c r="G50" i="1"/>
  <c r="E53" i="1" s="1"/>
  <c r="G124" i="1"/>
  <c r="E121" i="1" s="1"/>
  <c r="G90" i="1"/>
  <c r="K13" i="2"/>
  <c r="G10" i="1"/>
  <c r="E13" i="1" s="1"/>
  <c r="O124" i="1"/>
  <c r="M121" i="1" s="1"/>
  <c r="G78" i="1"/>
  <c r="G22" i="1"/>
  <c r="E19" i="1" s="1"/>
  <c r="G84" i="1"/>
  <c r="E81" i="1" l="1"/>
  <c r="E47" i="1"/>
  <c r="C50" i="1" s="1"/>
  <c r="E87" i="1"/>
  <c r="K118" i="1"/>
  <c r="C16" i="1"/>
  <c r="C84" i="1" l="1"/>
</calcChain>
</file>

<file path=xl/sharedStrings.xml><?xml version="1.0" encoding="utf-8"?>
<sst xmlns="http://schemas.openxmlformats.org/spreadsheetml/2006/main" count="239" uniqueCount="104">
  <si>
    <t>-</t>
  </si>
  <si>
    <t>Today</t>
  </si>
  <si>
    <t>Year 1</t>
  </si>
  <si>
    <t>Year 2</t>
  </si>
  <si>
    <t>Year 3</t>
  </si>
  <si>
    <t>Year 4</t>
  </si>
  <si>
    <t>Market Price of Bond</t>
  </si>
  <si>
    <t>OAS needed to match price</t>
  </si>
  <si>
    <r>
      <t>C</t>
    </r>
    <r>
      <rPr>
        <i/>
        <sz val="10"/>
        <color rgb="FFFF0000"/>
        <rFont val="Arial"/>
        <family val="2"/>
      </rPr>
      <t>ud</t>
    </r>
    <r>
      <rPr>
        <sz val="10"/>
        <color rgb="FFFF0000"/>
        <rFont val="Arial"/>
        <family val="2"/>
      </rPr>
      <t xml:space="preserve"> =&gt;</t>
    </r>
  </si>
  <si>
    <r>
      <t>C</t>
    </r>
    <r>
      <rPr>
        <i/>
        <sz val="10"/>
        <color rgb="FFFF0000"/>
        <rFont val="Arial"/>
        <family val="2"/>
      </rPr>
      <t>du</t>
    </r>
    <r>
      <rPr>
        <sz val="10"/>
        <color rgb="FFFF0000"/>
        <rFont val="Arial"/>
        <family val="2"/>
      </rPr>
      <t xml:space="preserve"> =&gt;</t>
    </r>
  </si>
  <si>
    <t>Uncapped Floater</t>
  </si>
  <si>
    <t>4.5% Capped Floater</t>
  </si>
  <si>
    <t>Date</t>
  </si>
  <si>
    <t>Recovery</t>
  </si>
  <si>
    <t>Loss Given Default</t>
  </si>
  <si>
    <t>Probability of Default</t>
  </si>
  <si>
    <t>Probability of Survival</t>
  </si>
  <si>
    <t>Expected Loss</t>
  </si>
  <si>
    <t>Risk Free Discount Factor</t>
  </si>
  <si>
    <t>PV of Expected Loss</t>
  </si>
  <si>
    <t>CVA =</t>
  </si>
  <si>
    <t>Coupon</t>
  </si>
  <si>
    <t>Principal</t>
  </si>
  <si>
    <t>Coupon Exposure</t>
  </si>
  <si>
    <t>Principal Exposure</t>
  </si>
  <si>
    <t>Total Exposure</t>
  </si>
  <si>
    <t>Risk free</t>
  </si>
  <si>
    <t>Exhibit 4</t>
  </si>
  <si>
    <t>CF</t>
  </si>
  <si>
    <t>Total =&gt;</t>
  </si>
  <si>
    <t>Risk Free Bond</t>
  </si>
  <si>
    <t>Risky Bond FV =&gt;</t>
  </si>
  <si>
    <t>Exhibit 2</t>
  </si>
  <si>
    <t>Cumulative =&gt;</t>
  </si>
  <si>
    <t>6% Coupon 3 year bond with a 5% POD</t>
  </si>
  <si>
    <t>Example:</t>
  </si>
  <si>
    <t>End of Year</t>
  </si>
  <si>
    <t xml:space="preserve">PV </t>
  </si>
  <si>
    <t>AAA</t>
  </si>
  <si>
    <t>AA</t>
  </si>
  <si>
    <t>A</t>
  </si>
  <si>
    <t>BBB</t>
  </si>
  <si>
    <t>CCC and lower</t>
  </si>
  <si>
    <t>BB</t>
  </si>
  <si>
    <t>B</t>
  </si>
  <si>
    <t>D</t>
  </si>
  <si>
    <t>Credit Spread (bps)</t>
  </si>
  <si>
    <t>(10 year maturity)</t>
  </si>
  <si>
    <t>Representative One-Year Corporate Transition Matrix</t>
  </si>
  <si>
    <t>Duration</t>
  </si>
  <si>
    <t>New Spread</t>
  </si>
  <si>
    <t>Initial Spread</t>
  </si>
  <si>
    <t>Return</t>
  </si>
  <si>
    <t>BBB to BB</t>
  </si>
  <si>
    <t>BBB to A</t>
  </si>
  <si>
    <t>Exhibit 10</t>
  </si>
  <si>
    <t>PV of all coupons left</t>
  </si>
  <si>
    <t>PV of principal</t>
  </si>
  <si>
    <t>(A)</t>
  </si>
  <si>
    <t>(B)</t>
  </si>
  <si>
    <t>( C)</t>
  </si>
  <si>
    <t>(D)</t>
  </si>
  <si>
    <t>( E)</t>
  </si>
  <si>
    <t>(F)</t>
  </si>
  <si>
    <t>(G)</t>
  </si>
  <si>
    <t>(H)</t>
  </si>
  <si>
    <t>(I)</t>
  </si>
  <si>
    <t>(J)</t>
  </si>
  <si>
    <t>(K)</t>
  </si>
  <si>
    <t>(B) + ( C)</t>
  </si>
  <si>
    <t>Recovery rate x (D)</t>
  </si>
  <si>
    <t>Risk Free Rate</t>
  </si>
  <si>
    <t>Recovery Rate</t>
  </si>
  <si>
    <t>(D) - €</t>
  </si>
  <si>
    <t>Prob of Default</t>
  </si>
  <si>
    <t>Prob of default x (H)</t>
  </si>
  <si>
    <t>1 - Prob of default</t>
  </si>
  <si>
    <t>(G) x (F)</t>
  </si>
  <si>
    <t>(I) x (J)</t>
  </si>
  <si>
    <r>
      <t>1 / (1 + R)</t>
    </r>
    <r>
      <rPr>
        <i/>
        <vertAlign val="superscript"/>
        <sz val="8"/>
        <color theme="1"/>
        <rFont val="Arial"/>
        <family val="2"/>
      </rPr>
      <t>N</t>
    </r>
  </si>
  <si>
    <t>Maturity</t>
  </si>
  <si>
    <t>Par Curve</t>
  </si>
  <si>
    <t>Zero Curve</t>
  </si>
  <si>
    <t>1 year forwards</t>
  </si>
  <si>
    <t>Node Test</t>
  </si>
  <si>
    <t>Pricing a 4 year Maturity Par Bond</t>
  </si>
  <si>
    <t>Actual Forward =&gt;</t>
  </si>
  <si>
    <t>Avg Fwd in Tree=&gt;</t>
  </si>
  <si>
    <t>Exhibits 2 - 5</t>
  </si>
  <si>
    <r>
      <t>s</t>
    </r>
    <r>
      <rPr>
        <sz val="10"/>
        <color theme="1"/>
        <rFont val="Arial"/>
        <family val="2"/>
      </rPr>
      <t xml:space="preserve"> = </t>
    </r>
  </si>
  <si>
    <t>LM 4 Examples</t>
  </si>
  <si>
    <r>
      <t>i</t>
    </r>
    <r>
      <rPr>
        <vertAlign val="subscript"/>
        <sz val="12"/>
        <color rgb="FFFF0000"/>
        <rFont val="Arial"/>
        <family val="2"/>
      </rPr>
      <t>1,H</t>
    </r>
    <r>
      <rPr>
        <sz val="12"/>
        <color rgb="FFFF0000"/>
        <rFont val="Arial"/>
        <family val="2"/>
      </rPr>
      <t xml:space="preserve"> = i</t>
    </r>
    <r>
      <rPr>
        <vertAlign val="subscript"/>
        <sz val="12"/>
        <color rgb="FFFF0000"/>
        <rFont val="Arial"/>
        <family val="2"/>
      </rPr>
      <t>1,L</t>
    </r>
    <r>
      <rPr>
        <sz val="12"/>
        <color rgb="FFFF0000"/>
        <rFont val="Arial"/>
        <family val="2"/>
      </rPr>
      <t>e</t>
    </r>
    <r>
      <rPr>
        <vertAlign val="superscript"/>
        <sz val="12"/>
        <color rgb="FFFF0000"/>
        <rFont val="Calibri Light"/>
        <family val="2"/>
      </rPr>
      <t>2s</t>
    </r>
  </si>
  <si>
    <t>Example of a Binary Tree</t>
  </si>
  <si>
    <t>6.5% coupon bond with 5 years maturity</t>
  </si>
  <si>
    <t>6.5% coupon bond with 5 years maturity callable after 1 year</t>
  </si>
  <si>
    <t>Example of a Binary Tree for a Risky Bond</t>
  </si>
  <si>
    <t>Floating rate bonds uncapped and capped</t>
  </si>
  <si>
    <t>LM2 Practice Problem 2 Binary Tree</t>
  </si>
  <si>
    <t>LM2 Examples</t>
  </si>
  <si>
    <t xml:space="preserve"> </t>
  </si>
  <si>
    <t>interest rate volatility</t>
  </si>
  <si>
    <t>CFA Level II Fixed Income Review</t>
  </si>
  <si>
    <t>Pete Stutz, CFA</t>
  </si>
  <si>
    <t>pstutz11@verizon.net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</si>
</sst>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0"/>
    <numFmt numFmtId="165" formatCode="0.0000%"/>
    <numFmt numFmtId="166" formatCode="0.000%"/>
    <numFmt numFmtId="167" formatCode="0.0000"/>
    <numFmt numFmtId="168" formatCode="_(* #,##0.0000_);_(* \(#,##0.0000\);_(* &quot;-&quot;??_);_(@_)"/>
    <numFmt numFmtId="169" formatCode="_(* #,##0.000000_);_(* \(#,##0.000000\);_(* &quot;-&quot;??_);_(@_)"/>
    <numFmt numFmtId="170" formatCode="0.0%"/>
    <numFmt numFmtId="171" formatCode="_(* #,##0_);_(* \(#,##0\);_(* &quot;-&quot;??_);_(@_)"/>
    <numFmt numFmtId="172" formatCode="0.0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vertAlign val="subscript"/>
      <sz val="12"/>
      <color rgb="FFFF0000"/>
      <name val="Arial"/>
      <family val="2"/>
    </font>
    <font>
      <vertAlign val="superscript"/>
      <sz val="12"/>
      <color rgb="FFFF0000"/>
      <name val="Calibri Light"/>
      <family val="2"/>
    </font>
    <font>
      <b/>
      <sz val="20"/>
      <color rgb="FF233671"/>
      <name val="Arial"/>
      <family val="2"/>
    </font>
    <font>
      <sz val="10"/>
      <color rgb="FF23367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64" fontId="3" fillId="0" borderId="1" xfId="0" applyNumberFormat="1" applyFont="1" applyBorder="1"/>
    <xf numFmtId="0" fontId="0" fillId="0" borderId="2" xfId="0" applyBorder="1"/>
    <xf numFmtId="165" fontId="4" fillId="0" borderId="3" xfId="0" applyNumberFormat="1" applyFont="1" applyBorder="1" applyAlignment="1">
      <alignment horizontal="center"/>
    </xf>
    <xf numFmtId="2" fontId="0" fillId="0" borderId="0" xfId="0" applyNumberFormat="1"/>
    <xf numFmtId="165" fontId="4" fillId="0" borderId="3" xfId="0" applyNumberFormat="1" applyFont="1" applyBorder="1"/>
    <xf numFmtId="165" fontId="0" fillId="0" borderId="0" xfId="0" applyNumberFormat="1"/>
    <xf numFmtId="164" fontId="0" fillId="0" borderId="0" xfId="0" applyNumberFormat="1"/>
    <xf numFmtId="0" fontId="3" fillId="0" borderId="0" xfId="0" applyFont="1"/>
    <xf numFmtId="166" fontId="0" fillId="0" borderId="0" xfId="1" applyNumberFormat="1" applyFont="1"/>
    <xf numFmtId="167" fontId="0" fillId="0" borderId="2" xfId="0" applyNumberFormat="1" applyBorder="1"/>
    <xf numFmtId="165" fontId="4" fillId="0" borderId="3" xfId="0" quotePrefix="1" applyNumberFormat="1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0" xfId="0" applyFont="1" applyAlignment="1">
      <alignment horizontal="right"/>
    </xf>
    <xf numFmtId="167" fontId="5" fillId="0" borderId="2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8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8" fontId="0" fillId="0" borderId="0" xfId="0" applyNumberFormat="1"/>
    <xf numFmtId="168" fontId="0" fillId="0" borderId="0" xfId="2" applyNumberFormat="1" applyFont="1"/>
    <xf numFmtId="168" fontId="3" fillId="0" borderId="0" xfId="2" applyNumberFormat="1" applyFont="1"/>
    <xf numFmtId="0" fontId="0" fillId="0" borderId="0" xfId="0" applyAlignment="1">
      <alignment horizontal="right"/>
    </xf>
    <xf numFmtId="169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0" fontId="0" fillId="0" borderId="0" xfId="1" applyNumberFormat="1" applyFont="1" applyAlignment="1">
      <alignment horizontal="center"/>
    </xf>
    <xf numFmtId="43" fontId="0" fillId="0" borderId="0" xfId="2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" fontId="8" fillId="0" borderId="0" xfId="2" applyNumberFormat="1" applyFont="1" applyAlignment="1">
      <alignment horizontal="center"/>
    </xf>
    <xf numFmtId="0" fontId="9" fillId="0" borderId="0" xfId="0" applyFont="1"/>
    <xf numFmtId="170" fontId="0" fillId="0" borderId="0" xfId="1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0" fontId="0" fillId="2" borderId="4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0" fillId="0" borderId="0" xfId="1" applyNumberFormat="1" applyFont="1"/>
    <xf numFmtId="10" fontId="0" fillId="0" borderId="0" xfId="1" applyNumberFormat="1" applyFont="1"/>
    <xf numFmtId="164" fontId="3" fillId="0" borderId="0" xfId="0" applyNumberFormat="1" applyFont="1"/>
    <xf numFmtId="165" fontId="4" fillId="0" borderId="0" xfId="0" applyNumberFormat="1" applyFont="1" applyAlignment="1">
      <alignment horizontal="center"/>
    </xf>
    <xf numFmtId="165" fontId="0" fillId="0" borderId="3" xfId="1" applyNumberFormat="1" applyFont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71" fontId="0" fillId="0" borderId="0" xfId="2" applyNumberFormat="1" applyFont="1"/>
    <xf numFmtId="0" fontId="16" fillId="0" borderId="0" xfId="0" applyFont="1"/>
    <xf numFmtId="10" fontId="17" fillId="0" borderId="0" xfId="1" applyNumberFormat="1" applyFont="1" applyAlignment="1">
      <alignment horizontal="right"/>
    </xf>
    <xf numFmtId="9" fontId="0" fillId="2" borderId="0" xfId="0" applyNumberFormat="1" applyFill="1"/>
    <xf numFmtId="9" fontId="0" fillId="0" borderId="0" xfId="0" applyNumberFormat="1"/>
    <xf numFmtId="10" fontId="3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10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0" applyNumberFormat="1"/>
    <xf numFmtId="168" fontId="5" fillId="0" borderId="0" xfId="2" applyNumberFormat="1" applyFont="1" applyAlignment="1">
      <alignment horizontal="center"/>
    </xf>
    <xf numFmtId="172" fontId="0" fillId="0" borderId="2" xfId="0" applyNumberFormat="1" applyBorder="1"/>
    <xf numFmtId="165" fontId="5" fillId="0" borderId="0" xfId="1" applyNumberFormat="1" applyFont="1"/>
    <xf numFmtId="0" fontId="5" fillId="0" borderId="0" xfId="0" applyFont="1"/>
    <xf numFmtId="0" fontId="18" fillId="0" borderId="0" xfId="0" applyFont="1"/>
    <xf numFmtId="10" fontId="0" fillId="0" borderId="0" xfId="0" applyNumberFormat="1"/>
    <xf numFmtId="9" fontId="5" fillId="0" borderId="0" xfId="0" applyNumberFormat="1" applyFont="1"/>
    <xf numFmtId="10" fontId="5" fillId="0" borderId="0" xfId="1" applyNumberFormat="1" applyFont="1"/>
    <xf numFmtId="165" fontId="5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left" vertical="center" readingOrder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544513</xdr:colOff>
      <xdr:row>18</xdr:row>
      <xdr:rowOff>149225</xdr:rowOff>
    </xdr:from>
    <xdr:to>
      <xdr:col>9</xdr:col>
      <xdr:colOff>415925</xdr:colOff>
      <xdr:row>20</xdr:row>
      <xdr:rowOff>109537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3E17DB6-4C01-11C5-63D6-B35A0E84206E}"/>
            </a:ext>
          </a:extLst>
        </xdr:cNvPr>
        <xdr:cNvSpPr/>
      </xdr:nvSpPr>
      <xdr:spPr>
        <a:xfrm>
          <a:off x="544513" y="4035425"/>
          <a:ext cx="5357812" cy="284162"/>
        </a:xfrm>
        <a:prstGeom prst="rect">
          <a:avLst/>
        </a:prstGeom>
        <a:solidFill>
          <a:srgbClr val="78BE20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114300</xdr:rowOff>
    </xdr:from>
    <xdr:to>
      <xdr:col>15</xdr:col>
      <xdr:colOff>0</xdr:colOff>
      <xdr:row>15</xdr:row>
      <xdr:rowOff>74612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68F215E-7AF1-D0AE-9390-85440F80C38C}"/>
            </a:ext>
          </a:extLst>
        </xdr:cNvPr>
        <xdr:cNvSpPr/>
      </xdr:nvSpPr>
      <xdr:spPr>
        <a:xfrm>
          <a:off x="0" y="3190875"/>
          <a:ext cx="9144000" cy="284162"/>
        </a:xfrm>
        <a:prstGeom prst="rect">
          <a:avLst/>
        </a:prstGeom>
        <a:solidFill>
          <a:schemeClr val="bg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3</xdr:col>
      <xdr:colOff>152400</xdr:colOff>
      <xdr:row>15</xdr:row>
      <xdr:rowOff>74612</xdr:rowOff>
    </xdr:from>
    <xdr:to>
      <xdr:col>12</xdr:col>
      <xdr:colOff>23813</xdr:colOff>
      <xdr:row>17</xdr:row>
      <xdr:rowOff>33337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9ECAD89-15B3-6D59-7D96-9D1C988676C9}"/>
            </a:ext>
          </a:extLst>
        </xdr:cNvPr>
        <xdr:cNvSpPr/>
      </xdr:nvSpPr>
      <xdr:spPr>
        <a:xfrm>
          <a:off x="1981200" y="3475037"/>
          <a:ext cx="5357813" cy="282575"/>
        </a:xfrm>
        <a:prstGeom prst="rect">
          <a:avLst/>
        </a:prstGeom>
        <a:solidFill>
          <a:schemeClr val="accent5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33337</xdr:rowOff>
    </xdr:from>
    <xdr:to>
      <xdr:col>15</xdr:col>
      <xdr:colOff>0</xdr:colOff>
      <xdr:row>18</xdr:row>
      <xdr:rowOff>155575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48E1E1C-DE43-06DD-6543-B1C7899030D4}"/>
            </a:ext>
          </a:extLst>
        </xdr:cNvPr>
        <xdr:cNvSpPr/>
      </xdr:nvSpPr>
      <xdr:spPr>
        <a:xfrm>
          <a:off x="0" y="3757612"/>
          <a:ext cx="9144000" cy="284163"/>
        </a:xfrm>
        <a:prstGeom prst="rect">
          <a:avLst/>
        </a:prstGeom>
        <a:solidFill>
          <a:schemeClr val="accent1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109537</xdr:rowOff>
    </xdr:from>
    <xdr:to>
      <xdr:col>15</xdr:col>
      <xdr:colOff>0</xdr:colOff>
      <xdr:row>22</xdr:row>
      <xdr:rowOff>68262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D2A2CE9-29B7-142E-FB51-E0FAE867D064}"/>
            </a:ext>
          </a:extLst>
        </xdr:cNvPr>
        <xdr:cNvSpPr/>
      </xdr:nvSpPr>
      <xdr:spPr>
        <a:xfrm>
          <a:off x="0" y="4319587"/>
          <a:ext cx="9144000" cy="282575"/>
        </a:xfrm>
        <a:prstGeom prst="rect">
          <a:avLst/>
        </a:prstGeom>
        <a:solidFill>
          <a:schemeClr val="accent4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6</xdr:col>
      <xdr:colOff>552450</xdr:colOff>
      <xdr:row>22</xdr:row>
      <xdr:rowOff>68262</xdr:rowOff>
    </xdr:from>
    <xdr:to>
      <xdr:col>15</xdr:col>
      <xdr:colOff>0</xdr:colOff>
      <xdr:row>24</xdr:row>
      <xdr:rowOff>28575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07980F6-4651-93C5-8383-E084FB62424E}"/>
            </a:ext>
          </a:extLst>
        </xdr:cNvPr>
        <xdr:cNvSpPr/>
      </xdr:nvSpPr>
      <xdr:spPr>
        <a:xfrm>
          <a:off x="4210050" y="4602162"/>
          <a:ext cx="4933950" cy="284163"/>
        </a:xfrm>
        <a:prstGeom prst="rect">
          <a:avLst/>
        </a:prstGeom>
        <a:solidFill>
          <a:schemeClr val="accent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28575</xdr:rowOff>
    </xdr:from>
    <xdr:to>
      <xdr:col>15</xdr:col>
      <xdr:colOff>0</xdr:colOff>
      <xdr:row>25</xdr:row>
      <xdr:rowOff>149225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0DD1623-88A6-1591-0F87-5446779920E7}"/>
            </a:ext>
          </a:extLst>
        </xdr:cNvPr>
        <xdr:cNvSpPr/>
      </xdr:nvSpPr>
      <xdr:spPr>
        <a:xfrm>
          <a:off x="0" y="4886325"/>
          <a:ext cx="9144000" cy="282575"/>
        </a:xfrm>
        <a:prstGeom prst="rect">
          <a:avLst/>
        </a:prstGeom>
        <a:solidFill>
          <a:schemeClr val="bg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149225</xdr:rowOff>
    </xdr:from>
    <xdr:to>
      <xdr:col>13</xdr:col>
      <xdr:colOff>481013</xdr:colOff>
      <xdr:row>27</xdr:row>
      <xdr:rowOff>109537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A7F1D69-6113-3BCA-C4B3-410499432463}"/>
            </a:ext>
          </a:extLst>
        </xdr:cNvPr>
        <xdr:cNvSpPr/>
      </xdr:nvSpPr>
      <xdr:spPr>
        <a:xfrm>
          <a:off x="3048000" y="5168900"/>
          <a:ext cx="5357813" cy="284162"/>
        </a:xfrm>
        <a:prstGeom prst="rect">
          <a:avLst/>
        </a:prstGeom>
        <a:solidFill>
          <a:srgbClr val="003DA5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 editAs="oneCell">
    <xdr:from>
      <xdr:col>9</xdr:col>
      <xdr:colOff>569913</xdr:colOff>
      <xdr:row>7</xdr:row>
      <xdr:rowOff>0</xdr:rowOff>
    </xdr:from>
    <xdr:to>
      <xdr:col>14</xdr:col>
      <xdr:colOff>114300</xdr:colOff>
      <xdr:row>11</xdr:row>
      <xdr:rowOff>20637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CDC74E8-EF72-085B-88E1-A534A6EFD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6313" y="2105025"/>
          <a:ext cx="2592387" cy="668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47</xdr:row>
      <xdr:rowOff>123825</xdr:rowOff>
    </xdr:from>
    <xdr:to>
      <xdr:col>2</xdr:col>
      <xdr:colOff>504825</xdr:colOff>
      <xdr:row>53</xdr:row>
      <xdr:rowOff>66675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FA278A58-BCCC-413C-B40C-332FEF2C9D99}"/>
            </a:ext>
          </a:extLst>
        </xdr:cNvPr>
        <xdr:cNvGrpSpPr/>
      </xdr:nvGrpSpPr>
      <xdr:grpSpPr>
        <a:xfrm>
          <a:off x="1409700" y="8229600"/>
          <a:ext cx="409575" cy="914400"/>
          <a:chOff x="1924050" y="2390775"/>
          <a:chExt cx="409575" cy="914400"/>
        </a:xfrm>
      </xdr:grpSpPr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C19FB9D6-FE29-42E6-A4C8-DEC6E32C5E6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6DB9493A-2284-4F49-A060-6E5B90F25AA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95250</xdr:colOff>
      <xdr:row>50</xdr:row>
      <xdr:rowOff>114300</xdr:rowOff>
    </xdr:from>
    <xdr:to>
      <xdr:col>4</xdr:col>
      <xdr:colOff>504825</xdr:colOff>
      <xdr:row>56</xdr:row>
      <xdr:rowOff>57150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AD4C9CD9-4E47-436B-B124-BE42090CF8AE}"/>
            </a:ext>
          </a:extLst>
        </xdr:cNvPr>
        <xdr:cNvGrpSpPr/>
      </xdr:nvGrpSpPr>
      <xdr:grpSpPr>
        <a:xfrm>
          <a:off x="2628900" y="8705850"/>
          <a:ext cx="409575" cy="914400"/>
          <a:chOff x="1924050" y="2390775"/>
          <a:chExt cx="409575" cy="914400"/>
        </a:xfrm>
      </xdr:grpSpPr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42574AAB-14FC-4360-96BD-D6E5368E9AC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D7EAB45C-1593-48D9-9777-A5B6026E2A7E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95250</xdr:colOff>
      <xdr:row>44</xdr:row>
      <xdr:rowOff>85725</xdr:rowOff>
    </xdr:from>
    <xdr:to>
      <xdr:col>4</xdr:col>
      <xdr:colOff>504825</xdr:colOff>
      <xdr:row>50</xdr:row>
      <xdr:rowOff>28575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6C8B2686-6D39-4691-A6A7-51125607184D}"/>
            </a:ext>
          </a:extLst>
        </xdr:cNvPr>
        <xdr:cNvGrpSpPr/>
      </xdr:nvGrpSpPr>
      <xdr:grpSpPr>
        <a:xfrm>
          <a:off x="2628900" y="7705725"/>
          <a:ext cx="409575" cy="914400"/>
          <a:chOff x="1924050" y="2390775"/>
          <a:chExt cx="409575" cy="914400"/>
        </a:xfrm>
      </xdr:grpSpPr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1CF69A9D-B964-4561-B4CC-D9DE8A74C5A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1E6F3A30-DEBE-4FDB-8551-9C3FB23A68F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47</xdr:row>
      <xdr:rowOff>123825</xdr:rowOff>
    </xdr:from>
    <xdr:to>
      <xdr:col>6</xdr:col>
      <xdr:colOff>514350</xdr:colOff>
      <xdr:row>53</xdr:row>
      <xdr:rowOff>66675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AE40CEBB-C36A-4379-903E-5A1C8BC0550C}"/>
            </a:ext>
          </a:extLst>
        </xdr:cNvPr>
        <xdr:cNvGrpSpPr/>
      </xdr:nvGrpSpPr>
      <xdr:grpSpPr>
        <a:xfrm>
          <a:off x="3933825" y="8229600"/>
          <a:ext cx="409575" cy="914400"/>
          <a:chOff x="1924050" y="2390775"/>
          <a:chExt cx="409575" cy="914400"/>
        </a:xfrm>
      </xdr:grpSpPr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AD9C08E7-6E09-4FA7-AE06-72EDD1E1B37C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65F925B0-9C47-464B-A8EF-54EE3D14460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41</xdr:row>
      <xdr:rowOff>95250</xdr:rowOff>
    </xdr:from>
    <xdr:to>
      <xdr:col>6</xdr:col>
      <xdr:colOff>514350</xdr:colOff>
      <xdr:row>47</xdr:row>
      <xdr:rowOff>38100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D846750A-5556-431B-8192-832748DA0745}"/>
            </a:ext>
          </a:extLst>
        </xdr:cNvPr>
        <xdr:cNvGrpSpPr/>
      </xdr:nvGrpSpPr>
      <xdr:grpSpPr>
        <a:xfrm>
          <a:off x="3933825" y="7229475"/>
          <a:ext cx="409575" cy="914400"/>
          <a:chOff x="1924050" y="2390775"/>
          <a:chExt cx="409575" cy="914400"/>
        </a:xfrm>
      </xdr:grpSpPr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8555E3F6-0F1E-4C95-86BB-8AE1CB47F2D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90D5A701-F14E-4E85-B6ED-3216C934AB8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53</xdr:row>
      <xdr:rowOff>142875</xdr:rowOff>
    </xdr:from>
    <xdr:to>
      <xdr:col>6</xdr:col>
      <xdr:colOff>514350</xdr:colOff>
      <xdr:row>59</xdr:row>
      <xdr:rowOff>85725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E5E702D4-E74A-4A95-90B5-7E7E17E0CE8D}"/>
            </a:ext>
          </a:extLst>
        </xdr:cNvPr>
        <xdr:cNvGrpSpPr/>
      </xdr:nvGrpSpPr>
      <xdr:grpSpPr>
        <a:xfrm>
          <a:off x="3933825" y="9220200"/>
          <a:ext cx="409575" cy="914400"/>
          <a:chOff x="1924050" y="2390775"/>
          <a:chExt cx="409575" cy="914400"/>
        </a:xfrm>
      </xdr:grpSpPr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4F85FA1D-DECE-4BFB-A80F-1BE90704F88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821E8A91-E754-48DA-BCEF-F6957591E5B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44</xdr:row>
      <xdr:rowOff>133350</xdr:rowOff>
    </xdr:from>
    <xdr:to>
      <xdr:col>8</xdr:col>
      <xdr:colOff>514350</xdr:colOff>
      <xdr:row>50</xdr:row>
      <xdr:rowOff>76200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AE949461-E189-4565-9657-E28F00FEBB82}"/>
            </a:ext>
          </a:extLst>
        </xdr:cNvPr>
        <xdr:cNvGrpSpPr/>
      </xdr:nvGrpSpPr>
      <xdr:grpSpPr>
        <a:xfrm>
          <a:off x="5153025" y="7753350"/>
          <a:ext cx="409575" cy="914400"/>
          <a:chOff x="1924050" y="2390775"/>
          <a:chExt cx="409575" cy="914400"/>
        </a:xfrm>
      </xdr:grpSpPr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88D757B1-245C-47A7-AF99-0EA3CA8FDC9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2F924820-FB41-482E-8C82-FD5B9D2A177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38</xdr:row>
      <xdr:rowOff>104775</xdr:rowOff>
    </xdr:from>
    <xdr:to>
      <xdr:col>8</xdr:col>
      <xdr:colOff>514350</xdr:colOff>
      <xdr:row>44</xdr:row>
      <xdr:rowOff>47625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C5A2E6F3-7485-4AC9-A5A2-D5C437A31924}"/>
            </a:ext>
          </a:extLst>
        </xdr:cNvPr>
        <xdr:cNvGrpSpPr/>
      </xdr:nvGrpSpPr>
      <xdr:grpSpPr>
        <a:xfrm>
          <a:off x="5153025" y="6753225"/>
          <a:ext cx="409575" cy="914400"/>
          <a:chOff x="1924050" y="2390775"/>
          <a:chExt cx="409575" cy="914400"/>
        </a:xfrm>
      </xdr:grpSpPr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2867C79E-362C-47A6-B857-1930B6CD814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7C9E9061-2E41-4E05-9D20-6D1238D8F0D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50</xdr:row>
      <xdr:rowOff>152400</xdr:rowOff>
    </xdr:from>
    <xdr:to>
      <xdr:col>8</xdr:col>
      <xdr:colOff>514350</xdr:colOff>
      <xdr:row>56</xdr:row>
      <xdr:rowOff>95250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599E3DE4-AD6F-411D-BE98-03EB551B94C6}"/>
            </a:ext>
          </a:extLst>
        </xdr:cNvPr>
        <xdr:cNvGrpSpPr/>
      </xdr:nvGrpSpPr>
      <xdr:grpSpPr>
        <a:xfrm>
          <a:off x="5153025" y="8743950"/>
          <a:ext cx="409575" cy="914400"/>
          <a:chOff x="1924050" y="2390775"/>
          <a:chExt cx="409575" cy="914400"/>
        </a:xfrm>
      </xdr:grpSpPr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827BE24B-8304-48B6-8E8B-23598DB29D13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Arrow Connector 40">
            <a:extLst>
              <a:ext uri="{FF2B5EF4-FFF2-40B4-BE49-F238E27FC236}">
                <a16:creationId xmlns:a16="http://schemas.microsoft.com/office/drawing/2014/main" id="{D1E62E73-85A7-4C17-88AA-B49B5061514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56</xdr:row>
      <xdr:rowOff>142875</xdr:rowOff>
    </xdr:from>
    <xdr:to>
      <xdr:col>8</xdr:col>
      <xdr:colOff>514350</xdr:colOff>
      <xdr:row>62</xdr:row>
      <xdr:rowOff>85725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10305760-AF5C-4889-8E97-14641D04C476}"/>
            </a:ext>
          </a:extLst>
        </xdr:cNvPr>
        <xdr:cNvGrpSpPr/>
      </xdr:nvGrpSpPr>
      <xdr:grpSpPr>
        <a:xfrm>
          <a:off x="5153025" y="9705975"/>
          <a:ext cx="409575" cy="914400"/>
          <a:chOff x="1924050" y="2390775"/>
          <a:chExt cx="409575" cy="914400"/>
        </a:xfrm>
      </xdr:grpSpPr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EB269869-7974-4295-9FBF-62AFA5FF9A7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66AD1C8E-A55F-41E9-80ED-EDA763A0408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161925</xdr:colOff>
      <xdr:row>16</xdr:row>
      <xdr:rowOff>117872</xdr:rowOff>
    </xdr:from>
    <xdr:to>
      <xdr:col>2</xdr:col>
      <xdr:colOff>571500</xdr:colOff>
      <xdr:row>18</xdr:row>
      <xdr:rowOff>66675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4B508F6C-D2B6-44F8-9EF6-2F41D3560EA6}"/>
            </a:ext>
          </a:extLst>
        </xdr:cNvPr>
        <xdr:cNvGrpSpPr/>
      </xdr:nvGrpSpPr>
      <xdr:grpSpPr>
        <a:xfrm>
          <a:off x="1476375" y="3184922"/>
          <a:ext cx="409575" cy="272653"/>
          <a:chOff x="1628775" y="3337322"/>
          <a:chExt cx="409575" cy="272653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624A612C-E13D-4594-A235-E3542B868F0C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E8161E4C-68AD-4F22-9FA7-0DBC159477B0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142875</xdr:colOff>
      <xdr:row>15</xdr:row>
      <xdr:rowOff>117872</xdr:rowOff>
    </xdr:from>
    <xdr:to>
      <xdr:col>4</xdr:col>
      <xdr:colOff>552450</xdr:colOff>
      <xdr:row>17</xdr:row>
      <xdr:rowOff>66675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A80F3091-CBCD-4FAC-B81B-E75BD34F7C58}"/>
            </a:ext>
          </a:extLst>
        </xdr:cNvPr>
        <xdr:cNvGrpSpPr/>
      </xdr:nvGrpSpPr>
      <xdr:grpSpPr>
        <a:xfrm>
          <a:off x="2676525" y="3022997"/>
          <a:ext cx="409575" cy="272653"/>
          <a:chOff x="1628775" y="3337322"/>
          <a:chExt cx="409575" cy="272653"/>
        </a:xfrm>
      </xdr:grpSpPr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62CD7CB5-13A4-43EF-9591-4E2639A6B06E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FC4BCA74-E5E1-42C9-BAAA-8A919C003BA9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152400</xdr:colOff>
      <xdr:row>17</xdr:row>
      <xdr:rowOff>98822</xdr:rowOff>
    </xdr:from>
    <xdr:to>
      <xdr:col>4</xdr:col>
      <xdr:colOff>561975</xdr:colOff>
      <xdr:row>19</xdr:row>
      <xdr:rowOff>47625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1FB4DE2B-E5EC-46F5-A302-99478CFC4A31}"/>
            </a:ext>
          </a:extLst>
        </xdr:cNvPr>
        <xdr:cNvGrpSpPr/>
      </xdr:nvGrpSpPr>
      <xdr:grpSpPr>
        <a:xfrm>
          <a:off x="2686050" y="3327797"/>
          <a:ext cx="409575" cy="272653"/>
          <a:chOff x="1628775" y="3337322"/>
          <a:chExt cx="409575" cy="272653"/>
        </a:xfrm>
      </xdr:grpSpPr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01432DCE-203A-435F-91E1-0183701B0AE1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4FBED7E4-94B6-44AE-8398-962782914FE4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16</xdr:row>
      <xdr:rowOff>108347</xdr:rowOff>
    </xdr:from>
    <xdr:to>
      <xdr:col>6</xdr:col>
      <xdr:colOff>523875</xdr:colOff>
      <xdr:row>18</xdr:row>
      <xdr:rowOff>57150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BA19AF42-0CF0-44C2-A3F3-8B166A390979}"/>
            </a:ext>
          </a:extLst>
        </xdr:cNvPr>
        <xdr:cNvGrpSpPr/>
      </xdr:nvGrpSpPr>
      <xdr:grpSpPr>
        <a:xfrm>
          <a:off x="3943350" y="3175397"/>
          <a:ext cx="409575" cy="272653"/>
          <a:chOff x="1628775" y="3337322"/>
          <a:chExt cx="409575" cy="272653"/>
        </a:xfrm>
      </xdr:grpSpPr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1ACE90AE-6993-46E5-823D-094854E7E7A1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1282276B-8048-4A68-8F8D-FE3209983FFC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18</xdr:row>
      <xdr:rowOff>98822</xdr:rowOff>
    </xdr:from>
    <xdr:to>
      <xdr:col>6</xdr:col>
      <xdr:colOff>523875</xdr:colOff>
      <xdr:row>20</xdr:row>
      <xdr:rowOff>47625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F5577F7B-2C36-4582-B072-3E049B8C6584}"/>
            </a:ext>
          </a:extLst>
        </xdr:cNvPr>
        <xdr:cNvGrpSpPr/>
      </xdr:nvGrpSpPr>
      <xdr:grpSpPr>
        <a:xfrm>
          <a:off x="3943350" y="3489722"/>
          <a:ext cx="409575" cy="272653"/>
          <a:chOff x="1628775" y="3337322"/>
          <a:chExt cx="409575" cy="272653"/>
        </a:xfrm>
      </xdr:grpSpPr>
      <xdr:cxnSp macro="">
        <xdr:nvCxnSpPr>
          <xdr:cNvPr id="62" name="Straight Arrow Connector 61">
            <a:extLst>
              <a:ext uri="{FF2B5EF4-FFF2-40B4-BE49-F238E27FC236}">
                <a16:creationId xmlns:a16="http://schemas.microsoft.com/office/drawing/2014/main" id="{0E8C1A4C-D5FB-40A6-AF11-5CD28572A1F0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1E087E4C-7760-4502-B03E-C1ADB641FEAA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14</xdr:row>
      <xdr:rowOff>117872</xdr:rowOff>
    </xdr:from>
    <xdr:to>
      <xdr:col>6</xdr:col>
      <xdr:colOff>523875</xdr:colOff>
      <xdr:row>16</xdr:row>
      <xdr:rowOff>66675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435302CF-2958-4D81-8D2D-06DE4910AD75}"/>
            </a:ext>
          </a:extLst>
        </xdr:cNvPr>
        <xdr:cNvGrpSpPr/>
      </xdr:nvGrpSpPr>
      <xdr:grpSpPr>
        <a:xfrm>
          <a:off x="3943350" y="2861072"/>
          <a:ext cx="409575" cy="272653"/>
          <a:chOff x="1628775" y="3337322"/>
          <a:chExt cx="409575" cy="272653"/>
        </a:xfrm>
      </xdr:grpSpPr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B90776AD-4E76-4A0E-8465-4B81CAEA077B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FBC4B9C3-FF41-4E53-B16D-90D16A645E4C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16</xdr:row>
      <xdr:rowOff>98822</xdr:rowOff>
    </xdr:from>
    <xdr:to>
      <xdr:col>13</xdr:col>
      <xdr:colOff>504825</xdr:colOff>
      <xdr:row>18</xdr:row>
      <xdr:rowOff>47625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72B2B80F-0C93-4B16-853D-7E708293AA99}"/>
            </a:ext>
          </a:extLst>
        </xdr:cNvPr>
        <xdr:cNvGrpSpPr/>
      </xdr:nvGrpSpPr>
      <xdr:grpSpPr>
        <a:xfrm>
          <a:off x="8191500" y="3165872"/>
          <a:ext cx="409575" cy="272653"/>
          <a:chOff x="1628775" y="3337322"/>
          <a:chExt cx="409575" cy="272653"/>
        </a:xfrm>
      </xdr:grpSpPr>
      <xdr:cxnSp macro="">
        <xdr:nvCxnSpPr>
          <xdr:cNvPr id="83" name="Straight Arrow Connector 82">
            <a:extLst>
              <a:ext uri="{FF2B5EF4-FFF2-40B4-BE49-F238E27FC236}">
                <a16:creationId xmlns:a16="http://schemas.microsoft.com/office/drawing/2014/main" id="{7099EC8B-A17D-4FF7-9599-CA1B6EA2173F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E7BE77C6-C1BD-4CC4-90C3-5A9112D1FCF6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15</xdr:row>
      <xdr:rowOff>108347</xdr:rowOff>
    </xdr:from>
    <xdr:to>
      <xdr:col>15</xdr:col>
      <xdr:colOff>504825</xdr:colOff>
      <xdr:row>17</xdr:row>
      <xdr:rowOff>57150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E2968672-DA5A-4B5D-AABE-9A6DBD4F4E1D}"/>
            </a:ext>
          </a:extLst>
        </xdr:cNvPr>
        <xdr:cNvGrpSpPr/>
      </xdr:nvGrpSpPr>
      <xdr:grpSpPr>
        <a:xfrm>
          <a:off x="9410700" y="3013472"/>
          <a:ext cx="409575" cy="272653"/>
          <a:chOff x="1628775" y="3337322"/>
          <a:chExt cx="409575" cy="272653"/>
        </a:xfrm>
      </xdr:grpSpPr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D67D1A11-B56E-4195-BC07-E911E96B6725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25E7D9CB-81D9-456D-AC2C-E5730E35CB8A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104775</xdr:colOff>
      <xdr:row>17</xdr:row>
      <xdr:rowOff>89297</xdr:rowOff>
    </xdr:from>
    <xdr:to>
      <xdr:col>15</xdr:col>
      <xdr:colOff>514350</xdr:colOff>
      <xdr:row>19</xdr:row>
      <xdr:rowOff>38100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03FD3E0B-6D08-412C-98EF-4BC84652A758}"/>
            </a:ext>
          </a:extLst>
        </xdr:cNvPr>
        <xdr:cNvGrpSpPr/>
      </xdr:nvGrpSpPr>
      <xdr:grpSpPr>
        <a:xfrm>
          <a:off x="9420225" y="3318272"/>
          <a:ext cx="409575" cy="272653"/>
          <a:chOff x="1628775" y="3337322"/>
          <a:chExt cx="409575" cy="272653"/>
        </a:xfrm>
      </xdr:grpSpPr>
      <xdr:cxnSp macro="">
        <xdr:nvCxnSpPr>
          <xdr:cNvPr id="89" name="Straight Arrow Connector 88">
            <a:extLst>
              <a:ext uri="{FF2B5EF4-FFF2-40B4-BE49-F238E27FC236}">
                <a16:creationId xmlns:a16="http://schemas.microsoft.com/office/drawing/2014/main" id="{7C88E1C8-69D1-4311-8D0C-F2E5DD768DE7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F57AA8B6-3C9E-45B9-881F-6520C14842B4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16</xdr:row>
      <xdr:rowOff>117872</xdr:rowOff>
    </xdr:from>
    <xdr:to>
      <xdr:col>17</xdr:col>
      <xdr:colOff>533400</xdr:colOff>
      <xdr:row>18</xdr:row>
      <xdr:rowOff>66675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F2149CBD-7953-44E7-B657-CF79D793A54A}"/>
            </a:ext>
          </a:extLst>
        </xdr:cNvPr>
        <xdr:cNvGrpSpPr/>
      </xdr:nvGrpSpPr>
      <xdr:grpSpPr>
        <a:xfrm>
          <a:off x="10658475" y="3184922"/>
          <a:ext cx="409575" cy="272653"/>
          <a:chOff x="1628775" y="3337322"/>
          <a:chExt cx="409575" cy="272653"/>
        </a:xfrm>
      </xdr:grpSpPr>
      <xdr:cxnSp macro="">
        <xdr:nvCxnSpPr>
          <xdr:cNvPr id="92" name="Straight Arrow Connector 91">
            <a:extLst>
              <a:ext uri="{FF2B5EF4-FFF2-40B4-BE49-F238E27FC236}">
                <a16:creationId xmlns:a16="http://schemas.microsoft.com/office/drawing/2014/main" id="{355E03B6-404B-4797-80EC-9EA40682E840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DDC968B1-8000-45C2-9F08-7187D78C8EA1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18</xdr:row>
      <xdr:rowOff>108347</xdr:rowOff>
    </xdr:from>
    <xdr:to>
      <xdr:col>17</xdr:col>
      <xdr:colOff>533400</xdr:colOff>
      <xdr:row>20</xdr:row>
      <xdr:rowOff>57150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86B042A8-92AD-4527-A514-A1454F25C354}"/>
            </a:ext>
          </a:extLst>
        </xdr:cNvPr>
        <xdr:cNvGrpSpPr/>
      </xdr:nvGrpSpPr>
      <xdr:grpSpPr>
        <a:xfrm>
          <a:off x="10658475" y="3499247"/>
          <a:ext cx="409575" cy="272653"/>
          <a:chOff x="1628775" y="3337322"/>
          <a:chExt cx="409575" cy="272653"/>
        </a:xfrm>
      </xdr:grpSpPr>
      <xdr:cxnSp macro="">
        <xdr:nvCxnSpPr>
          <xdr:cNvPr id="95" name="Straight Arrow Connector 94">
            <a:extLst>
              <a:ext uri="{FF2B5EF4-FFF2-40B4-BE49-F238E27FC236}">
                <a16:creationId xmlns:a16="http://schemas.microsoft.com/office/drawing/2014/main" id="{4B57E167-B7C6-484B-B870-D03AA3DBAC27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9B237583-3659-415A-A38D-2CB43CD38780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14</xdr:row>
      <xdr:rowOff>127397</xdr:rowOff>
    </xdr:from>
    <xdr:to>
      <xdr:col>17</xdr:col>
      <xdr:colOff>533400</xdr:colOff>
      <xdr:row>16</xdr:row>
      <xdr:rowOff>76200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CA28DA54-593E-4527-94E7-B402CADDE748}"/>
            </a:ext>
          </a:extLst>
        </xdr:cNvPr>
        <xdr:cNvGrpSpPr/>
      </xdr:nvGrpSpPr>
      <xdr:grpSpPr>
        <a:xfrm>
          <a:off x="10658475" y="2870597"/>
          <a:ext cx="409575" cy="272653"/>
          <a:chOff x="1628775" y="3337322"/>
          <a:chExt cx="409575" cy="272653"/>
        </a:xfrm>
      </xdr:grpSpPr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E4BFDD99-2ABC-4D95-BF53-F9D3D1F6FE1B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DE2737FF-945B-46F2-98BE-5AA65064BB61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47</xdr:row>
      <xdr:rowOff>123825</xdr:rowOff>
    </xdr:from>
    <xdr:to>
      <xdr:col>13</xdr:col>
      <xdr:colOff>504825</xdr:colOff>
      <xdr:row>53</xdr:row>
      <xdr:rowOff>66675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C8519309-8513-452D-85CA-0EBA7C374123}"/>
            </a:ext>
          </a:extLst>
        </xdr:cNvPr>
        <xdr:cNvGrpSpPr/>
      </xdr:nvGrpSpPr>
      <xdr:grpSpPr>
        <a:xfrm>
          <a:off x="8191500" y="8229600"/>
          <a:ext cx="409575" cy="914400"/>
          <a:chOff x="1924050" y="2390775"/>
          <a:chExt cx="409575" cy="914400"/>
        </a:xfrm>
      </xdr:grpSpPr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80F9394C-CE0A-4FCB-84F2-797830BC29E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BDAD657E-1211-43E8-8240-7B528FB61F9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50</xdr:row>
      <xdr:rowOff>114300</xdr:rowOff>
    </xdr:from>
    <xdr:to>
      <xdr:col>15</xdr:col>
      <xdr:colOff>504825</xdr:colOff>
      <xdr:row>56</xdr:row>
      <xdr:rowOff>57150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EBEC4E76-18A1-46CB-BF99-DD8330CA7B8E}"/>
            </a:ext>
          </a:extLst>
        </xdr:cNvPr>
        <xdr:cNvGrpSpPr/>
      </xdr:nvGrpSpPr>
      <xdr:grpSpPr>
        <a:xfrm>
          <a:off x="9410700" y="8705850"/>
          <a:ext cx="409575" cy="914400"/>
          <a:chOff x="1924050" y="2390775"/>
          <a:chExt cx="409575" cy="914400"/>
        </a:xfrm>
      </xdr:grpSpPr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F17E9970-E38F-42E0-B365-5F0885F632F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6A05B45C-F003-4335-9796-548A6346221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44</xdr:row>
      <xdr:rowOff>85725</xdr:rowOff>
    </xdr:from>
    <xdr:to>
      <xdr:col>15</xdr:col>
      <xdr:colOff>504825</xdr:colOff>
      <xdr:row>50</xdr:row>
      <xdr:rowOff>28575</xdr:rowOff>
    </xdr:to>
    <xdr:grpSp>
      <xdr:nvGrpSpPr>
        <xdr:cNvPr id="115" name="Group 114">
          <a:extLst>
            <a:ext uri="{FF2B5EF4-FFF2-40B4-BE49-F238E27FC236}">
              <a16:creationId xmlns:a16="http://schemas.microsoft.com/office/drawing/2014/main" id="{890EF166-4CF0-4A3E-A07D-9F5319964E11}"/>
            </a:ext>
          </a:extLst>
        </xdr:cNvPr>
        <xdr:cNvGrpSpPr/>
      </xdr:nvGrpSpPr>
      <xdr:grpSpPr>
        <a:xfrm>
          <a:off x="9410700" y="7705725"/>
          <a:ext cx="409575" cy="914400"/>
          <a:chOff x="1924050" y="2390775"/>
          <a:chExt cx="409575" cy="914400"/>
        </a:xfrm>
      </xdr:grpSpPr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CF79CBDD-8673-41E0-9A99-9C5BA0BC18C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C062E0F5-FACB-4981-A954-06F5F3EC582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47</xdr:row>
      <xdr:rowOff>123825</xdr:rowOff>
    </xdr:from>
    <xdr:to>
      <xdr:col>17</xdr:col>
      <xdr:colOff>514350</xdr:colOff>
      <xdr:row>53</xdr:row>
      <xdr:rowOff>66675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420725C0-F00B-4090-9973-4394CFFB2EA4}"/>
            </a:ext>
          </a:extLst>
        </xdr:cNvPr>
        <xdr:cNvGrpSpPr/>
      </xdr:nvGrpSpPr>
      <xdr:grpSpPr>
        <a:xfrm>
          <a:off x="10639425" y="8229600"/>
          <a:ext cx="409575" cy="914400"/>
          <a:chOff x="1924050" y="2390775"/>
          <a:chExt cx="409575" cy="914400"/>
        </a:xfrm>
      </xdr:grpSpPr>
      <xdr:cxnSp macro="">
        <xdr:nvCxnSpPr>
          <xdr:cNvPr id="119" name="Straight Arrow Connector 118">
            <a:extLst>
              <a:ext uri="{FF2B5EF4-FFF2-40B4-BE49-F238E27FC236}">
                <a16:creationId xmlns:a16="http://schemas.microsoft.com/office/drawing/2014/main" id="{FDB6B472-3C7C-4EF4-A40E-CF1CC5F849A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Arrow Connector 119">
            <a:extLst>
              <a:ext uri="{FF2B5EF4-FFF2-40B4-BE49-F238E27FC236}">
                <a16:creationId xmlns:a16="http://schemas.microsoft.com/office/drawing/2014/main" id="{50BAAA82-95DA-4668-B1CC-C16CABAEC22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41</xdr:row>
      <xdr:rowOff>95250</xdr:rowOff>
    </xdr:from>
    <xdr:to>
      <xdr:col>17</xdr:col>
      <xdr:colOff>514350</xdr:colOff>
      <xdr:row>47</xdr:row>
      <xdr:rowOff>38100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003BA0A0-251B-4B3E-AC48-50DEC594BE4C}"/>
            </a:ext>
          </a:extLst>
        </xdr:cNvPr>
        <xdr:cNvGrpSpPr/>
      </xdr:nvGrpSpPr>
      <xdr:grpSpPr>
        <a:xfrm>
          <a:off x="10639425" y="7229475"/>
          <a:ext cx="409575" cy="914400"/>
          <a:chOff x="1924050" y="2390775"/>
          <a:chExt cx="409575" cy="914400"/>
        </a:xfrm>
      </xdr:grpSpPr>
      <xdr:cxnSp macro="">
        <xdr:nvCxnSpPr>
          <xdr:cNvPr id="122" name="Straight Arrow Connector 121">
            <a:extLst>
              <a:ext uri="{FF2B5EF4-FFF2-40B4-BE49-F238E27FC236}">
                <a16:creationId xmlns:a16="http://schemas.microsoft.com/office/drawing/2014/main" id="{96A4B401-CDCB-426B-87D1-C85528C892C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0343C799-9052-4055-814B-7E7BFC379EB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53</xdr:row>
      <xdr:rowOff>142875</xdr:rowOff>
    </xdr:from>
    <xdr:to>
      <xdr:col>17</xdr:col>
      <xdr:colOff>514350</xdr:colOff>
      <xdr:row>59</xdr:row>
      <xdr:rowOff>85725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B14F9293-FDD7-4FCF-AD2B-DDAFA1B386D8}"/>
            </a:ext>
          </a:extLst>
        </xdr:cNvPr>
        <xdr:cNvGrpSpPr/>
      </xdr:nvGrpSpPr>
      <xdr:grpSpPr>
        <a:xfrm>
          <a:off x="10639425" y="9220200"/>
          <a:ext cx="409575" cy="914400"/>
          <a:chOff x="1924050" y="2390775"/>
          <a:chExt cx="409575" cy="914400"/>
        </a:xfrm>
      </xdr:grpSpPr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438B7D69-ECED-49D0-8E7E-7CDC43EA363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4DB12773-1F6D-4D81-B94F-C74515CF5D6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44</xdr:row>
      <xdr:rowOff>133350</xdr:rowOff>
    </xdr:from>
    <xdr:to>
      <xdr:col>19</xdr:col>
      <xdr:colOff>514350</xdr:colOff>
      <xdr:row>50</xdr:row>
      <xdr:rowOff>76200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0F34E3C6-8E97-42FF-AC9D-94D30517C619}"/>
            </a:ext>
          </a:extLst>
        </xdr:cNvPr>
        <xdr:cNvGrpSpPr/>
      </xdr:nvGrpSpPr>
      <xdr:grpSpPr>
        <a:xfrm>
          <a:off x="11858625" y="7753350"/>
          <a:ext cx="409575" cy="914400"/>
          <a:chOff x="1924050" y="2390775"/>
          <a:chExt cx="409575" cy="914400"/>
        </a:xfrm>
      </xdr:grpSpPr>
      <xdr:cxnSp macro="">
        <xdr:nvCxnSpPr>
          <xdr:cNvPr id="128" name="Straight Arrow Connector 127">
            <a:extLst>
              <a:ext uri="{FF2B5EF4-FFF2-40B4-BE49-F238E27FC236}">
                <a16:creationId xmlns:a16="http://schemas.microsoft.com/office/drawing/2014/main" id="{D55D68E4-6BCC-4866-AF1F-A0E254AED3E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Arrow Connector 128">
            <a:extLst>
              <a:ext uri="{FF2B5EF4-FFF2-40B4-BE49-F238E27FC236}">
                <a16:creationId xmlns:a16="http://schemas.microsoft.com/office/drawing/2014/main" id="{5AA42B0A-B143-4E16-A555-74EEC5DB5958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38</xdr:row>
      <xdr:rowOff>104775</xdr:rowOff>
    </xdr:from>
    <xdr:to>
      <xdr:col>19</xdr:col>
      <xdr:colOff>514350</xdr:colOff>
      <xdr:row>44</xdr:row>
      <xdr:rowOff>47625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848E2714-356B-4134-93E6-2AF1DC27793D}"/>
            </a:ext>
          </a:extLst>
        </xdr:cNvPr>
        <xdr:cNvGrpSpPr/>
      </xdr:nvGrpSpPr>
      <xdr:grpSpPr>
        <a:xfrm>
          <a:off x="11858625" y="6753225"/>
          <a:ext cx="409575" cy="914400"/>
          <a:chOff x="1924050" y="2390775"/>
          <a:chExt cx="409575" cy="914400"/>
        </a:xfrm>
      </xdr:grpSpPr>
      <xdr:cxnSp macro="">
        <xdr:nvCxnSpPr>
          <xdr:cNvPr id="131" name="Straight Arrow Connector 130">
            <a:extLst>
              <a:ext uri="{FF2B5EF4-FFF2-40B4-BE49-F238E27FC236}">
                <a16:creationId xmlns:a16="http://schemas.microsoft.com/office/drawing/2014/main" id="{6EE05F7E-3D94-4277-8655-9564933AD32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Arrow Connector 131">
            <a:extLst>
              <a:ext uri="{FF2B5EF4-FFF2-40B4-BE49-F238E27FC236}">
                <a16:creationId xmlns:a16="http://schemas.microsoft.com/office/drawing/2014/main" id="{F4A4F2A5-B006-49B0-B737-A907471EE208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50</xdr:row>
      <xdr:rowOff>152400</xdr:rowOff>
    </xdr:from>
    <xdr:to>
      <xdr:col>19</xdr:col>
      <xdr:colOff>514350</xdr:colOff>
      <xdr:row>56</xdr:row>
      <xdr:rowOff>95250</xdr:rowOff>
    </xdr:to>
    <xdr:grpSp>
      <xdr:nvGrpSpPr>
        <xdr:cNvPr id="133" name="Group 132">
          <a:extLst>
            <a:ext uri="{FF2B5EF4-FFF2-40B4-BE49-F238E27FC236}">
              <a16:creationId xmlns:a16="http://schemas.microsoft.com/office/drawing/2014/main" id="{B9BBB82F-65A6-4C00-968E-5AF5A8F7704D}"/>
            </a:ext>
          </a:extLst>
        </xdr:cNvPr>
        <xdr:cNvGrpSpPr/>
      </xdr:nvGrpSpPr>
      <xdr:grpSpPr>
        <a:xfrm>
          <a:off x="11858625" y="8743950"/>
          <a:ext cx="409575" cy="914400"/>
          <a:chOff x="1924050" y="2390775"/>
          <a:chExt cx="409575" cy="914400"/>
        </a:xfrm>
      </xdr:grpSpPr>
      <xdr:cxnSp macro="">
        <xdr:nvCxnSpPr>
          <xdr:cNvPr id="134" name="Straight Arrow Connector 133">
            <a:extLst>
              <a:ext uri="{FF2B5EF4-FFF2-40B4-BE49-F238E27FC236}">
                <a16:creationId xmlns:a16="http://schemas.microsoft.com/office/drawing/2014/main" id="{AFC633AB-81D1-4C20-A714-01B47F78B01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Arrow Connector 134">
            <a:extLst>
              <a:ext uri="{FF2B5EF4-FFF2-40B4-BE49-F238E27FC236}">
                <a16:creationId xmlns:a16="http://schemas.microsoft.com/office/drawing/2014/main" id="{9E04AF60-2318-4BA8-B178-0F352B0BE84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56</xdr:row>
      <xdr:rowOff>142875</xdr:rowOff>
    </xdr:from>
    <xdr:to>
      <xdr:col>19</xdr:col>
      <xdr:colOff>514350</xdr:colOff>
      <xdr:row>62</xdr:row>
      <xdr:rowOff>85725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DAA4CE44-CB5C-40FC-A626-4AF1C6346980}"/>
            </a:ext>
          </a:extLst>
        </xdr:cNvPr>
        <xdr:cNvGrpSpPr/>
      </xdr:nvGrpSpPr>
      <xdr:grpSpPr>
        <a:xfrm>
          <a:off x="11858625" y="9705975"/>
          <a:ext cx="409575" cy="914400"/>
          <a:chOff x="1924050" y="2390775"/>
          <a:chExt cx="409575" cy="914400"/>
        </a:xfrm>
      </xdr:grpSpPr>
      <xdr:cxnSp macro="">
        <xdr:nvCxnSpPr>
          <xdr:cNvPr id="137" name="Straight Arrow Connector 136">
            <a:extLst>
              <a:ext uri="{FF2B5EF4-FFF2-40B4-BE49-F238E27FC236}">
                <a16:creationId xmlns:a16="http://schemas.microsoft.com/office/drawing/2014/main" id="{EC7852E6-3769-4154-B411-216C88E6E9BC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>
            <a:extLst>
              <a:ext uri="{FF2B5EF4-FFF2-40B4-BE49-F238E27FC236}">
                <a16:creationId xmlns:a16="http://schemas.microsoft.com/office/drawing/2014/main" id="{0580C256-F98A-49BF-B643-C34616CA314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95250</xdr:colOff>
      <xdr:row>80</xdr:row>
      <xdr:rowOff>123825</xdr:rowOff>
    </xdr:from>
    <xdr:to>
      <xdr:col>1</xdr:col>
      <xdr:colOff>504825</xdr:colOff>
      <xdr:row>86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5722D14-909F-4B26-8F3B-F59095A438F1}"/>
            </a:ext>
          </a:extLst>
        </xdr:cNvPr>
        <xdr:cNvGrpSpPr/>
      </xdr:nvGrpSpPr>
      <xdr:grpSpPr>
        <a:xfrm>
          <a:off x="800100" y="13611225"/>
          <a:ext cx="409575" cy="914400"/>
          <a:chOff x="1924050" y="2390775"/>
          <a:chExt cx="409575" cy="914400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58521CE6-259D-DFD5-6BB8-CC5D921878B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E10FBFC3-9DD4-95A2-9CC5-639009E56FD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83</xdr:row>
      <xdr:rowOff>114300</xdr:rowOff>
    </xdr:from>
    <xdr:to>
      <xdr:col>4</xdr:col>
      <xdr:colOff>0</xdr:colOff>
      <xdr:row>89</xdr:row>
      <xdr:rowOff>57150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FB1EECE-8E3B-4D92-97E2-0CA97F12EB3E}"/>
            </a:ext>
          </a:extLst>
        </xdr:cNvPr>
        <xdr:cNvGrpSpPr/>
      </xdr:nvGrpSpPr>
      <xdr:grpSpPr>
        <a:xfrm>
          <a:off x="2019300" y="14087475"/>
          <a:ext cx="514350" cy="914400"/>
          <a:chOff x="1924050" y="2390775"/>
          <a:chExt cx="409575" cy="914400"/>
        </a:xfrm>
      </xdr:grpSpPr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2B15911E-A737-5CCA-1118-2E5D3040FD4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F6C0A7BF-D2D1-63F5-1F86-A1F5C7CE88F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77</xdr:row>
      <xdr:rowOff>85725</xdr:rowOff>
    </xdr:from>
    <xdr:to>
      <xdr:col>4</xdr:col>
      <xdr:colOff>0</xdr:colOff>
      <xdr:row>83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47CEDD51-463F-48B2-B9E6-2649FA5651F8}"/>
            </a:ext>
          </a:extLst>
        </xdr:cNvPr>
        <xdr:cNvGrpSpPr/>
      </xdr:nvGrpSpPr>
      <xdr:grpSpPr>
        <a:xfrm>
          <a:off x="2019300" y="13087350"/>
          <a:ext cx="514350" cy="914400"/>
          <a:chOff x="1924050" y="2390775"/>
          <a:chExt cx="409575" cy="914400"/>
        </a:xfrm>
      </xdr:grpSpPr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495E7A06-14B1-7A4E-433E-ACB1E426D52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C9502755-0B64-3DC7-018B-1F8D51FDC04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80</xdr:row>
      <xdr:rowOff>123825</xdr:rowOff>
    </xdr:from>
    <xdr:to>
      <xdr:col>5</xdr:col>
      <xdr:colOff>514350</xdr:colOff>
      <xdr:row>86</xdr:row>
      <xdr:rowOff>66675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C093A62-059D-4982-BE0C-816265D00BD2}"/>
            </a:ext>
          </a:extLst>
        </xdr:cNvPr>
        <xdr:cNvGrpSpPr/>
      </xdr:nvGrpSpPr>
      <xdr:grpSpPr>
        <a:xfrm>
          <a:off x="3324225" y="13611225"/>
          <a:ext cx="409575" cy="914400"/>
          <a:chOff x="1924050" y="2390775"/>
          <a:chExt cx="409575" cy="914400"/>
        </a:xfrm>
      </xdr:grpSpPr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054E28E2-FB38-DEDA-45A2-202ED0507A3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5F694EB0-26E4-2072-8E0D-51629EB3B05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74</xdr:row>
      <xdr:rowOff>95250</xdr:rowOff>
    </xdr:from>
    <xdr:to>
      <xdr:col>5</xdr:col>
      <xdr:colOff>514350</xdr:colOff>
      <xdr:row>80</xdr:row>
      <xdr:rowOff>38100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AAD52F53-D58A-46E5-AF70-C26E39FD9C68}"/>
            </a:ext>
          </a:extLst>
        </xdr:cNvPr>
        <xdr:cNvGrpSpPr/>
      </xdr:nvGrpSpPr>
      <xdr:grpSpPr>
        <a:xfrm>
          <a:off x="3324225" y="12611100"/>
          <a:ext cx="409575" cy="914400"/>
          <a:chOff x="1924050" y="2390775"/>
          <a:chExt cx="409575" cy="914400"/>
        </a:xfrm>
      </xdr:grpSpPr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170C23B1-024D-AC84-B720-867FA681672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9EBFF7C9-0AF8-B8A3-D2C0-612EF8B02C6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86</xdr:row>
      <xdr:rowOff>142875</xdr:rowOff>
    </xdr:from>
    <xdr:to>
      <xdr:col>5</xdr:col>
      <xdr:colOff>514350</xdr:colOff>
      <xdr:row>92</xdr:row>
      <xdr:rowOff>85725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0C8343EE-2A6A-4185-B15D-866615273864}"/>
            </a:ext>
          </a:extLst>
        </xdr:cNvPr>
        <xdr:cNvGrpSpPr/>
      </xdr:nvGrpSpPr>
      <xdr:grpSpPr>
        <a:xfrm>
          <a:off x="3324225" y="14601825"/>
          <a:ext cx="409575" cy="914400"/>
          <a:chOff x="1924050" y="2390775"/>
          <a:chExt cx="409575" cy="914400"/>
        </a:xfrm>
      </xdr:grpSpPr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B5FA036D-2EC3-07F6-22A3-639D1AC3390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Arrow Connector 66">
            <a:extLst>
              <a:ext uri="{FF2B5EF4-FFF2-40B4-BE49-F238E27FC236}">
                <a16:creationId xmlns:a16="http://schemas.microsoft.com/office/drawing/2014/main" id="{A660F18F-3ACF-578F-E01E-5E72D600065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13</xdr:row>
      <xdr:rowOff>123825</xdr:rowOff>
    </xdr:from>
    <xdr:to>
      <xdr:col>3</xdr:col>
      <xdr:colOff>504825</xdr:colOff>
      <xdr:row>19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1B04F4-BC51-48D2-89AE-1CD4D3FC4E16}"/>
            </a:ext>
          </a:extLst>
        </xdr:cNvPr>
        <xdr:cNvGrpSpPr/>
      </xdr:nvGrpSpPr>
      <xdr:grpSpPr>
        <a:xfrm>
          <a:off x="1924050" y="2266950"/>
          <a:ext cx="409575" cy="914400"/>
          <a:chOff x="1924050" y="2390775"/>
          <a:chExt cx="409575" cy="914400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05146288-CF83-4089-A2AD-99206CA2E8A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1BF40E3D-C095-411A-BB2C-26230E34849E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16</xdr:row>
      <xdr:rowOff>114300</xdr:rowOff>
    </xdr:from>
    <xdr:to>
      <xdr:col>5</xdr:col>
      <xdr:colOff>504825</xdr:colOff>
      <xdr:row>22</xdr:row>
      <xdr:rowOff>57150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E5DD3DF-C82F-4950-9F72-09956DAC829A}"/>
            </a:ext>
          </a:extLst>
        </xdr:cNvPr>
        <xdr:cNvGrpSpPr/>
      </xdr:nvGrpSpPr>
      <xdr:grpSpPr>
        <a:xfrm>
          <a:off x="3219450" y="2743200"/>
          <a:ext cx="409575" cy="914400"/>
          <a:chOff x="1924050" y="2390775"/>
          <a:chExt cx="409575" cy="914400"/>
        </a:xfrm>
      </xdr:grpSpPr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E8217626-2ECF-4424-A22D-0A17EE3D12A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193E346B-4693-4887-81CF-0EB7DDC004A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10</xdr:row>
      <xdr:rowOff>85725</xdr:rowOff>
    </xdr:from>
    <xdr:to>
      <xdr:col>5</xdr:col>
      <xdr:colOff>504825</xdr:colOff>
      <xdr:row>16</xdr:row>
      <xdr:rowOff>28575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E41A9E6-9983-4833-8952-D37C98B7A132}"/>
            </a:ext>
          </a:extLst>
        </xdr:cNvPr>
        <xdr:cNvGrpSpPr/>
      </xdr:nvGrpSpPr>
      <xdr:grpSpPr>
        <a:xfrm>
          <a:off x="3219450" y="1743075"/>
          <a:ext cx="409575" cy="914400"/>
          <a:chOff x="1924050" y="2390775"/>
          <a:chExt cx="409575" cy="914400"/>
        </a:xfrm>
      </xdr:grpSpPr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6F64EE0F-FE99-45FB-996E-C75523221F4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717AADB2-7E13-4303-B800-2ADBA6769AA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13</xdr:row>
      <xdr:rowOff>123825</xdr:rowOff>
    </xdr:from>
    <xdr:to>
      <xdr:col>7</xdr:col>
      <xdr:colOff>514350</xdr:colOff>
      <xdr:row>19</xdr:row>
      <xdr:rowOff>66675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E0F0CC4-3110-4372-AF51-5D66751B2C79}"/>
            </a:ext>
          </a:extLst>
        </xdr:cNvPr>
        <xdr:cNvGrpSpPr/>
      </xdr:nvGrpSpPr>
      <xdr:grpSpPr>
        <a:xfrm>
          <a:off x="4448175" y="2266950"/>
          <a:ext cx="409575" cy="914400"/>
          <a:chOff x="1924050" y="2390775"/>
          <a:chExt cx="409575" cy="9144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528CDBC1-FAFE-4B3F-82EF-F37CD023CCC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A3952208-9ED4-4E87-ABFE-0F75383E1C7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7</xdr:row>
      <xdr:rowOff>95250</xdr:rowOff>
    </xdr:from>
    <xdr:to>
      <xdr:col>7</xdr:col>
      <xdr:colOff>514350</xdr:colOff>
      <xdr:row>13</xdr:row>
      <xdr:rowOff>38100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C8228A6B-BBA1-4CE2-BDF0-11A785F21532}"/>
            </a:ext>
          </a:extLst>
        </xdr:cNvPr>
        <xdr:cNvGrpSpPr/>
      </xdr:nvGrpSpPr>
      <xdr:grpSpPr>
        <a:xfrm>
          <a:off x="4448175" y="1266825"/>
          <a:ext cx="409575" cy="914400"/>
          <a:chOff x="1924050" y="2390775"/>
          <a:chExt cx="409575" cy="914400"/>
        </a:xfrm>
      </xdr:grpSpPr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51015682-A3F9-4347-ADDF-0ED38BA49FE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B204C5AD-8896-4F80-B732-830B55A1111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19</xdr:row>
      <xdr:rowOff>142875</xdr:rowOff>
    </xdr:from>
    <xdr:to>
      <xdr:col>7</xdr:col>
      <xdr:colOff>514350</xdr:colOff>
      <xdr:row>25</xdr:row>
      <xdr:rowOff>85725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9C869E4F-C2C0-4EC9-8C83-93317F121BFD}"/>
            </a:ext>
          </a:extLst>
        </xdr:cNvPr>
        <xdr:cNvGrpSpPr/>
      </xdr:nvGrpSpPr>
      <xdr:grpSpPr>
        <a:xfrm>
          <a:off x="4448175" y="3257550"/>
          <a:ext cx="409575" cy="914400"/>
          <a:chOff x="1924050" y="2390775"/>
          <a:chExt cx="409575" cy="914400"/>
        </a:xfrm>
      </xdr:grpSpPr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0D4E78B9-9776-448F-AC39-A63AC49BA12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A02840D9-447D-42CB-A598-016554C9648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10</xdr:row>
      <xdr:rowOff>133350</xdr:rowOff>
    </xdr:from>
    <xdr:to>
      <xdr:col>9</xdr:col>
      <xdr:colOff>514350</xdr:colOff>
      <xdr:row>16</xdr:row>
      <xdr:rowOff>76200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0DB173A-4928-412C-9152-0D0E59BD58CF}"/>
            </a:ext>
          </a:extLst>
        </xdr:cNvPr>
        <xdr:cNvGrpSpPr/>
      </xdr:nvGrpSpPr>
      <xdr:grpSpPr>
        <a:xfrm>
          <a:off x="5667375" y="1790700"/>
          <a:ext cx="409575" cy="914400"/>
          <a:chOff x="1924050" y="2390775"/>
          <a:chExt cx="409575" cy="914400"/>
        </a:xfrm>
      </xdr:grpSpPr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2FB0642D-62D1-45FF-AC0D-0479D26FAE3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1BA1182E-68B0-4712-9E9D-5B921B1C2B4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4</xdr:row>
      <xdr:rowOff>104775</xdr:rowOff>
    </xdr:from>
    <xdr:to>
      <xdr:col>9</xdr:col>
      <xdr:colOff>514350</xdr:colOff>
      <xdr:row>10</xdr:row>
      <xdr:rowOff>47625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A8DA179D-A4BD-4540-832C-3ABBDE794BAC}"/>
            </a:ext>
          </a:extLst>
        </xdr:cNvPr>
        <xdr:cNvGrpSpPr/>
      </xdr:nvGrpSpPr>
      <xdr:grpSpPr>
        <a:xfrm>
          <a:off x="5667375" y="790575"/>
          <a:ext cx="409575" cy="914400"/>
          <a:chOff x="1924050" y="2390775"/>
          <a:chExt cx="409575" cy="914400"/>
        </a:xfrm>
      </xdr:grpSpPr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16A018C0-5CD7-4132-8947-7B8CDD3840F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0BB46BE0-F249-4923-A8BE-302A3D61790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16</xdr:row>
      <xdr:rowOff>152400</xdr:rowOff>
    </xdr:from>
    <xdr:to>
      <xdr:col>9</xdr:col>
      <xdr:colOff>514350</xdr:colOff>
      <xdr:row>22</xdr:row>
      <xdr:rowOff>95250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86585434-C3EE-425F-9D8D-03FE71DD50DE}"/>
            </a:ext>
          </a:extLst>
        </xdr:cNvPr>
        <xdr:cNvGrpSpPr/>
      </xdr:nvGrpSpPr>
      <xdr:grpSpPr>
        <a:xfrm>
          <a:off x="5667375" y="2781300"/>
          <a:ext cx="409575" cy="914400"/>
          <a:chOff x="1924050" y="2390775"/>
          <a:chExt cx="409575" cy="914400"/>
        </a:xfrm>
      </xdr:grpSpPr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0663569C-1D72-4A34-97AF-8AF06F45598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70AEADC6-2E36-4110-8082-0728D0E087F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22</xdr:row>
      <xdr:rowOff>142875</xdr:rowOff>
    </xdr:from>
    <xdr:to>
      <xdr:col>9</xdr:col>
      <xdr:colOff>514350</xdr:colOff>
      <xdr:row>28</xdr:row>
      <xdr:rowOff>85725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32C01368-1285-484A-8DA4-9C89DB588E45}"/>
            </a:ext>
          </a:extLst>
        </xdr:cNvPr>
        <xdr:cNvGrpSpPr/>
      </xdr:nvGrpSpPr>
      <xdr:grpSpPr>
        <a:xfrm>
          <a:off x="5667375" y="3743325"/>
          <a:ext cx="409575" cy="914400"/>
          <a:chOff x="1924050" y="2390775"/>
          <a:chExt cx="409575" cy="914400"/>
        </a:xfrm>
      </xdr:grpSpPr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2E7CA0AB-20AE-4438-B07A-7DCFB165042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EEC0AC80-0FD9-45AB-93EB-AAB75C1F71D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47</xdr:row>
      <xdr:rowOff>123825</xdr:rowOff>
    </xdr:from>
    <xdr:to>
      <xdr:col>3</xdr:col>
      <xdr:colOff>504825</xdr:colOff>
      <xdr:row>53</xdr:row>
      <xdr:rowOff>66675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36197BAD-CB86-4AD0-BA66-4A8009C01205}"/>
            </a:ext>
          </a:extLst>
        </xdr:cNvPr>
        <xdr:cNvGrpSpPr/>
      </xdr:nvGrpSpPr>
      <xdr:grpSpPr>
        <a:xfrm>
          <a:off x="1924050" y="7943850"/>
          <a:ext cx="409575" cy="914400"/>
          <a:chOff x="1924050" y="2390775"/>
          <a:chExt cx="409575" cy="914400"/>
        </a:xfrm>
      </xdr:grpSpPr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FA1E6DA1-A3B3-4CCA-934B-B7D1EC32306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845B4959-43C7-4F01-BE62-16AE8710FE7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50</xdr:row>
      <xdr:rowOff>114300</xdr:rowOff>
    </xdr:from>
    <xdr:to>
      <xdr:col>5</xdr:col>
      <xdr:colOff>504825</xdr:colOff>
      <xdr:row>56</xdr:row>
      <xdr:rowOff>57150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38BCE8BA-C2FF-4C92-817E-100D2C0FA9C9}"/>
            </a:ext>
          </a:extLst>
        </xdr:cNvPr>
        <xdr:cNvGrpSpPr/>
      </xdr:nvGrpSpPr>
      <xdr:grpSpPr>
        <a:xfrm>
          <a:off x="3219450" y="8420100"/>
          <a:ext cx="409575" cy="914400"/>
          <a:chOff x="1924050" y="2390775"/>
          <a:chExt cx="409575" cy="914400"/>
        </a:xfrm>
      </xdr:grpSpPr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21B67021-5155-4FE4-9334-379E598589B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749BF7E2-9A82-457C-BF4D-43A995034B0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44</xdr:row>
      <xdr:rowOff>85725</xdr:rowOff>
    </xdr:from>
    <xdr:to>
      <xdr:col>5</xdr:col>
      <xdr:colOff>504825</xdr:colOff>
      <xdr:row>50</xdr:row>
      <xdr:rowOff>28575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C5A61012-78A7-470C-B2ED-665AE0C747CC}"/>
            </a:ext>
          </a:extLst>
        </xdr:cNvPr>
        <xdr:cNvGrpSpPr/>
      </xdr:nvGrpSpPr>
      <xdr:grpSpPr>
        <a:xfrm>
          <a:off x="3219450" y="7419975"/>
          <a:ext cx="409575" cy="914400"/>
          <a:chOff x="1924050" y="2390775"/>
          <a:chExt cx="409575" cy="914400"/>
        </a:xfrm>
      </xdr:grpSpPr>
      <xdr:cxnSp macro="">
        <xdr:nvCxnSpPr>
          <xdr:cNvPr id="39" name="Straight Arrow Connector 38">
            <a:extLst>
              <a:ext uri="{FF2B5EF4-FFF2-40B4-BE49-F238E27FC236}">
                <a16:creationId xmlns:a16="http://schemas.microsoft.com/office/drawing/2014/main" id="{E6C266CE-158A-47DC-880F-DEAB78283E1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0DC60BF7-B6F1-4E5A-A107-51E9A7DD155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47</xdr:row>
      <xdr:rowOff>123825</xdr:rowOff>
    </xdr:from>
    <xdr:to>
      <xdr:col>7</xdr:col>
      <xdr:colOff>514350</xdr:colOff>
      <xdr:row>53</xdr:row>
      <xdr:rowOff>66675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6177FF27-669C-437E-944C-8D80A1B5610C}"/>
            </a:ext>
          </a:extLst>
        </xdr:cNvPr>
        <xdr:cNvGrpSpPr/>
      </xdr:nvGrpSpPr>
      <xdr:grpSpPr>
        <a:xfrm>
          <a:off x="4448175" y="7943850"/>
          <a:ext cx="409575" cy="914400"/>
          <a:chOff x="1924050" y="2390775"/>
          <a:chExt cx="409575" cy="914400"/>
        </a:xfrm>
      </xdr:grpSpPr>
      <xdr:cxnSp macro="">
        <xdr:nvCxnSpPr>
          <xdr:cNvPr id="42" name="Straight Arrow Connector 41">
            <a:extLst>
              <a:ext uri="{FF2B5EF4-FFF2-40B4-BE49-F238E27FC236}">
                <a16:creationId xmlns:a16="http://schemas.microsoft.com/office/drawing/2014/main" id="{C76E307D-4B45-426A-9C9C-B4F642F8237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DB373670-FC90-40D5-B17F-E715E6E1023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41</xdr:row>
      <xdr:rowOff>95250</xdr:rowOff>
    </xdr:from>
    <xdr:to>
      <xdr:col>7</xdr:col>
      <xdr:colOff>514350</xdr:colOff>
      <xdr:row>47</xdr:row>
      <xdr:rowOff>38100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C434B2F6-AEE0-4FBC-BF2F-33A4FFCB31FF}"/>
            </a:ext>
          </a:extLst>
        </xdr:cNvPr>
        <xdr:cNvGrpSpPr/>
      </xdr:nvGrpSpPr>
      <xdr:grpSpPr>
        <a:xfrm>
          <a:off x="4448175" y="6943725"/>
          <a:ext cx="409575" cy="914400"/>
          <a:chOff x="1924050" y="2390775"/>
          <a:chExt cx="409575" cy="914400"/>
        </a:xfrm>
      </xdr:grpSpPr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224A8D30-4E3D-4BB7-9CD8-D39DABB2C70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5F8BEC3D-EB04-4827-8630-90E1A93A7B7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53</xdr:row>
      <xdr:rowOff>142875</xdr:rowOff>
    </xdr:from>
    <xdr:to>
      <xdr:col>7</xdr:col>
      <xdr:colOff>514350</xdr:colOff>
      <xdr:row>59</xdr:row>
      <xdr:rowOff>85725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ED8E1947-86CD-4E13-9125-68033B1D20C3}"/>
            </a:ext>
          </a:extLst>
        </xdr:cNvPr>
        <xdr:cNvGrpSpPr/>
      </xdr:nvGrpSpPr>
      <xdr:grpSpPr>
        <a:xfrm>
          <a:off x="4448175" y="8934450"/>
          <a:ext cx="409575" cy="914400"/>
          <a:chOff x="1924050" y="2390775"/>
          <a:chExt cx="409575" cy="914400"/>
        </a:xfrm>
      </xdr:grpSpPr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B1CEC63D-FA35-4ADF-84A8-15EC46851B8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C5E9EE8F-0B80-4A4A-B7D1-D680F869DA4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44</xdr:row>
      <xdr:rowOff>133350</xdr:rowOff>
    </xdr:from>
    <xdr:to>
      <xdr:col>9</xdr:col>
      <xdr:colOff>514350</xdr:colOff>
      <xdr:row>50</xdr:row>
      <xdr:rowOff>76200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754B5717-76F0-4644-894E-C392C66872E1}"/>
            </a:ext>
          </a:extLst>
        </xdr:cNvPr>
        <xdr:cNvGrpSpPr/>
      </xdr:nvGrpSpPr>
      <xdr:grpSpPr>
        <a:xfrm>
          <a:off x="5667375" y="7467600"/>
          <a:ext cx="409575" cy="914400"/>
          <a:chOff x="1924050" y="2390775"/>
          <a:chExt cx="409575" cy="914400"/>
        </a:xfrm>
      </xdr:grpSpPr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60CD70C9-6DBB-45F1-8D74-C219AB9EA9F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DA26BFB8-D210-43FC-A0F4-99A95F5BA6B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38</xdr:row>
      <xdr:rowOff>104775</xdr:rowOff>
    </xdr:from>
    <xdr:to>
      <xdr:col>9</xdr:col>
      <xdr:colOff>514350</xdr:colOff>
      <xdr:row>44</xdr:row>
      <xdr:rowOff>47625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6FE5A409-6E1E-4F4E-8C46-B70EE2011639}"/>
            </a:ext>
          </a:extLst>
        </xdr:cNvPr>
        <xdr:cNvGrpSpPr/>
      </xdr:nvGrpSpPr>
      <xdr:grpSpPr>
        <a:xfrm>
          <a:off x="5667375" y="6467475"/>
          <a:ext cx="409575" cy="914400"/>
          <a:chOff x="1924050" y="2390775"/>
          <a:chExt cx="409575" cy="914400"/>
        </a:xfrm>
      </xdr:grpSpPr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49AB7EDA-30CA-460E-8038-1E3BCA48AEA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43B7877D-A347-4761-AE7A-AF0F8E9CE23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50</xdr:row>
      <xdr:rowOff>152400</xdr:rowOff>
    </xdr:from>
    <xdr:to>
      <xdr:col>9</xdr:col>
      <xdr:colOff>514350</xdr:colOff>
      <xdr:row>56</xdr:row>
      <xdr:rowOff>95250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E1D12AEF-CA2F-4CA4-8727-4E67A6045A36}"/>
            </a:ext>
          </a:extLst>
        </xdr:cNvPr>
        <xdr:cNvGrpSpPr/>
      </xdr:nvGrpSpPr>
      <xdr:grpSpPr>
        <a:xfrm>
          <a:off x="5667375" y="8458200"/>
          <a:ext cx="409575" cy="914400"/>
          <a:chOff x="1924050" y="2390775"/>
          <a:chExt cx="409575" cy="914400"/>
        </a:xfrm>
      </xdr:grpSpPr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B90C364D-830D-48DC-841A-39C7D18BB73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24EB2DA5-694E-49BB-B1AA-00EBD4395EA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56</xdr:row>
      <xdr:rowOff>142875</xdr:rowOff>
    </xdr:from>
    <xdr:to>
      <xdr:col>9</xdr:col>
      <xdr:colOff>514350</xdr:colOff>
      <xdr:row>62</xdr:row>
      <xdr:rowOff>85725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80F798AC-5A83-4F64-843D-43FA9DF30222}"/>
            </a:ext>
          </a:extLst>
        </xdr:cNvPr>
        <xdr:cNvGrpSpPr/>
      </xdr:nvGrpSpPr>
      <xdr:grpSpPr>
        <a:xfrm>
          <a:off x="5667375" y="9420225"/>
          <a:ext cx="409575" cy="914400"/>
          <a:chOff x="1924050" y="2390775"/>
          <a:chExt cx="409575" cy="914400"/>
        </a:xfrm>
      </xdr:grpSpPr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68733A0D-058B-4C9D-B395-35800FE0ED7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2F3FFCED-458D-4F17-B9FB-12015BB132A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561975</xdr:colOff>
      <xdr:row>51</xdr:row>
      <xdr:rowOff>114300</xdr:rowOff>
    </xdr:from>
    <xdr:to>
      <xdr:col>5</xdr:col>
      <xdr:colOff>66675</xdr:colOff>
      <xdr:row>53</xdr:row>
      <xdr:rowOff>38100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4805B731-9F9A-4A26-A2FF-98F991EFC13E}"/>
            </a:ext>
          </a:extLst>
        </xdr:cNvPr>
        <xdr:cNvSpPr>
          <a:spLocks noChangeArrowheads="1"/>
        </xdr:cNvSpPr>
      </xdr:nvSpPr>
      <xdr:spPr bwMode="auto">
        <a:xfrm>
          <a:off x="2390775" y="8610600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3</xdr:col>
      <xdr:colOff>581025</xdr:colOff>
      <xdr:row>45</xdr:row>
      <xdr:rowOff>123825</xdr:rowOff>
    </xdr:from>
    <xdr:to>
      <xdr:col>5</xdr:col>
      <xdr:colOff>85725</xdr:colOff>
      <xdr:row>47</xdr:row>
      <xdr:rowOff>47625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71D24AB7-D787-4CEC-B826-29D45AFA1CA1}"/>
            </a:ext>
          </a:extLst>
        </xdr:cNvPr>
        <xdr:cNvSpPr>
          <a:spLocks noChangeArrowheads="1"/>
        </xdr:cNvSpPr>
      </xdr:nvSpPr>
      <xdr:spPr bwMode="auto">
        <a:xfrm>
          <a:off x="2409825" y="7648575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600075</xdr:colOff>
      <xdr:row>48</xdr:row>
      <xdr:rowOff>114300</xdr:rowOff>
    </xdr:from>
    <xdr:to>
      <xdr:col>7</xdr:col>
      <xdr:colOff>104775</xdr:colOff>
      <xdr:row>50</xdr:row>
      <xdr:rowOff>38100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FAD88983-0DAE-478F-9252-06AC5332F9F5}"/>
            </a:ext>
          </a:extLst>
        </xdr:cNvPr>
        <xdr:cNvSpPr>
          <a:spLocks noChangeArrowheads="1"/>
        </xdr:cNvSpPr>
      </xdr:nvSpPr>
      <xdr:spPr bwMode="auto">
        <a:xfrm>
          <a:off x="3724275" y="81248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600075</xdr:colOff>
      <xdr:row>54</xdr:row>
      <xdr:rowOff>104775</xdr:rowOff>
    </xdr:from>
    <xdr:to>
      <xdr:col>7</xdr:col>
      <xdr:colOff>104775</xdr:colOff>
      <xdr:row>56</xdr:row>
      <xdr:rowOff>28575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92B739E9-EA11-4002-A776-26DC09EACDA9}"/>
            </a:ext>
          </a:extLst>
        </xdr:cNvPr>
        <xdr:cNvSpPr>
          <a:spLocks noChangeArrowheads="1"/>
        </xdr:cNvSpPr>
      </xdr:nvSpPr>
      <xdr:spPr bwMode="auto">
        <a:xfrm>
          <a:off x="3724275" y="90868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590550</xdr:colOff>
      <xdr:row>57</xdr:row>
      <xdr:rowOff>123825</xdr:rowOff>
    </xdr:from>
    <xdr:to>
      <xdr:col>9</xdr:col>
      <xdr:colOff>95250</xdr:colOff>
      <xdr:row>59</xdr:row>
      <xdr:rowOff>47625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53590227-6130-45FD-9A52-DC198258C8ED}"/>
            </a:ext>
          </a:extLst>
        </xdr:cNvPr>
        <xdr:cNvSpPr>
          <a:spLocks noChangeArrowheads="1"/>
        </xdr:cNvSpPr>
      </xdr:nvSpPr>
      <xdr:spPr bwMode="auto">
        <a:xfrm>
          <a:off x="4933950" y="959167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581025</xdr:colOff>
      <xdr:row>51</xdr:row>
      <xdr:rowOff>123825</xdr:rowOff>
    </xdr:from>
    <xdr:to>
      <xdr:col>9</xdr:col>
      <xdr:colOff>85725</xdr:colOff>
      <xdr:row>53</xdr:row>
      <xdr:rowOff>47625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ED080A9E-668B-4817-8C99-D38FEA67C3C4}"/>
            </a:ext>
          </a:extLst>
        </xdr:cNvPr>
        <xdr:cNvSpPr>
          <a:spLocks noChangeArrowheads="1"/>
        </xdr:cNvSpPr>
      </xdr:nvSpPr>
      <xdr:spPr bwMode="auto">
        <a:xfrm>
          <a:off x="4924425" y="86201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3</xdr:col>
      <xdr:colOff>95250</xdr:colOff>
      <xdr:row>81</xdr:row>
      <xdr:rowOff>123825</xdr:rowOff>
    </xdr:from>
    <xdr:to>
      <xdr:col>3</xdr:col>
      <xdr:colOff>504825</xdr:colOff>
      <xdr:row>87</xdr:row>
      <xdr:rowOff>66675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9C5CC89A-9DD1-4C4E-AE16-8066313C7903}"/>
            </a:ext>
          </a:extLst>
        </xdr:cNvPr>
        <xdr:cNvGrpSpPr/>
      </xdr:nvGrpSpPr>
      <xdr:grpSpPr>
        <a:xfrm>
          <a:off x="1924050" y="13487400"/>
          <a:ext cx="409575" cy="914400"/>
          <a:chOff x="1924050" y="2390775"/>
          <a:chExt cx="409575" cy="914400"/>
        </a:xfrm>
      </xdr:grpSpPr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07E275BC-6CDB-48DF-8050-867C07C12A8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Arrow Connector 69">
            <a:extLst>
              <a:ext uri="{FF2B5EF4-FFF2-40B4-BE49-F238E27FC236}">
                <a16:creationId xmlns:a16="http://schemas.microsoft.com/office/drawing/2014/main" id="{733F375D-3814-4A1E-9626-CDA74121BB7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84</xdr:row>
      <xdr:rowOff>114300</xdr:rowOff>
    </xdr:from>
    <xdr:to>
      <xdr:col>5</xdr:col>
      <xdr:colOff>504825</xdr:colOff>
      <xdr:row>90</xdr:row>
      <xdr:rowOff>57150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82B03EC5-18E9-49E5-B82A-9ABD61A6E618}"/>
            </a:ext>
          </a:extLst>
        </xdr:cNvPr>
        <xdr:cNvGrpSpPr/>
      </xdr:nvGrpSpPr>
      <xdr:grpSpPr>
        <a:xfrm>
          <a:off x="3219450" y="13963650"/>
          <a:ext cx="409575" cy="914400"/>
          <a:chOff x="1924050" y="2390775"/>
          <a:chExt cx="409575" cy="914400"/>
        </a:xfrm>
      </xdr:grpSpPr>
      <xdr:cxnSp macro="">
        <xdr:nvCxnSpPr>
          <xdr:cNvPr id="72" name="Straight Arrow Connector 71">
            <a:extLst>
              <a:ext uri="{FF2B5EF4-FFF2-40B4-BE49-F238E27FC236}">
                <a16:creationId xmlns:a16="http://schemas.microsoft.com/office/drawing/2014/main" id="{4B3EB943-2983-4539-8C4A-F876B767FB2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Arrow Connector 72">
            <a:extLst>
              <a:ext uri="{FF2B5EF4-FFF2-40B4-BE49-F238E27FC236}">
                <a16:creationId xmlns:a16="http://schemas.microsoft.com/office/drawing/2014/main" id="{F6832444-BBD3-4FF7-92A6-0B176D4F2B9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78</xdr:row>
      <xdr:rowOff>85725</xdr:rowOff>
    </xdr:from>
    <xdr:to>
      <xdr:col>5</xdr:col>
      <xdr:colOff>504825</xdr:colOff>
      <xdr:row>84</xdr:row>
      <xdr:rowOff>28575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F9CC6A16-910F-48E8-9F3A-E5AA1EF39172}"/>
            </a:ext>
          </a:extLst>
        </xdr:cNvPr>
        <xdr:cNvGrpSpPr/>
      </xdr:nvGrpSpPr>
      <xdr:grpSpPr>
        <a:xfrm>
          <a:off x="3219450" y="12963525"/>
          <a:ext cx="409575" cy="914400"/>
          <a:chOff x="1924050" y="2390775"/>
          <a:chExt cx="409575" cy="914400"/>
        </a:xfrm>
      </xdr:grpSpPr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957DDB80-520E-4547-A4D9-BC4F63DEA6D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Arrow Connector 75">
            <a:extLst>
              <a:ext uri="{FF2B5EF4-FFF2-40B4-BE49-F238E27FC236}">
                <a16:creationId xmlns:a16="http://schemas.microsoft.com/office/drawing/2014/main" id="{69C23BEA-4BFC-4D16-8453-ED5AEACF4C8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81</xdr:row>
      <xdr:rowOff>123825</xdr:rowOff>
    </xdr:from>
    <xdr:to>
      <xdr:col>7</xdr:col>
      <xdr:colOff>514350</xdr:colOff>
      <xdr:row>87</xdr:row>
      <xdr:rowOff>66675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2E456BEE-5FC0-4EAC-A6F3-53C85FD2A1B1}"/>
            </a:ext>
          </a:extLst>
        </xdr:cNvPr>
        <xdr:cNvGrpSpPr/>
      </xdr:nvGrpSpPr>
      <xdr:grpSpPr>
        <a:xfrm>
          <a:off x="4448175" y="13487400"/>
          <a:ext cx="409575" cy="914400"/>
          <a:chOff x="1924050" y="2390775"/>
          <a:chExt cx="409575" cy="914400"/>
        </a:xfrm>
      </xdr:grpSpPr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E1D0B572-55EE-427C-AB01-142B49DB311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F479BAFC-E333-4648-A44A-81BA7244E12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75</xdr:row>
      <xdr:rowOff>95250</xdr:rowOff>
    </xdr:from>
    <xdr:to>
      <xdr:col>7</xdr:col>
      <xdr:colOff>514350</xdr:colOff>
      <xdr:row>81</xdr:row>
      <xdr:rowOff>38100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4AAB92F3-C0A5-4B74-928D-36662C3F0501}"/>
            </a:ext>
          </a:extLst>
        </xdr:cNvPr>
        <xdr:cNvGrpSpPr/>
      </xdr:nvGrpSpPr>
      <xdr:grpSpPr>
        <a:xfrm>
          <a:off x="4448175" y="12487275"/>
          <a:ext cx="409575" cy="914400"/>
          <a:chOff x="1924050" y="2390775"/>
          <a:chExt cx="409575" cy="914400"/>
        </a:xfrm>
      </xdr:grpSpPr>
      <xdr:cxnSp macro="">
        <xdr:nvCxnSpPr>
          <xdr:cNvPr id="81" name="Straight Arrow Connector 80">
            <a:extLst>
              <a:ext uri="{FF2B5EF4-FFF2-40B4-BE49-F238E27FC236}">
                <a16:creationId xmlns:a16="http://schemas.microsoft.com/office/drawing/2014/main" id="{2A911C85-9CB0-40E9-B3A7-7767CAD478A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43FEDD11-3BE1-4551-A5BC-6A8CC036711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87</xdr:row>
      <xdr:rowOff>142875</xdr:rowOff>
    </xdr:from>
    <xdr:to>
      <xdr:col>7</xdr:col>
      <xdr:colOff>514350</xdr:colOff>
      <xdr:row>93</xdr:row>
      <xdr:rowOff>85725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F46536FC-E522-4D4A-82D5-F89E5236CE73}"/>
            </a:ext>
          </a:extLst>
        </xdr:cNvPr>
        <xdr:cNvGrpSpPr/>
      </xdr:nvGrpSpPr>
      <xdr:grpSpPr>
        <a:xfrm>
          <a:off x="4448175" y="14478000"/>
          <a:ext cx="409575" cy="914400"/>
          <a:chOff x="1924050" y="2390775"/>
          <a:chExt cx="409575" cy="914400"/>
        </a:xfrm>
      </xdr:grpSpPr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A8B839F0-07FE-4A00-B39C-5CBBE21FD28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EC3CD357-4B9C-4CCD-BA16-C920D0F0F4B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78</xdr:row>
      <xdr:rowOff>133350</xdr:rowOff>
    </xdr:from>
    <xdr:to>
      <xdr:col>9</xdr:col>
      <xdr:colOff>514350</xdr:colOff>
      <xdr:row>84</xdr:row>
      <xdr:rowOff>76200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1827EDD0-8B95-463A-AD2E-D0A2D88B3F75}"/>
            </a:ext>
          </a:extLst>
        </xdr:cNvPr>
        <xdr:cNvGrpSpPr/>
      </xdr:nvGrpSpPr>
      <xdr:grpSpPr>
        <a:xfrm>
          <a:off x="5667375" y="13011150"/>
          <a:ext cx="409575" cy="914400"/>
          <a:chOff x="1924050" y="2390775"/>
          <a:chExt cx="409575" cy="914400"/>
        </a:xfrm>
      </xdr:grpSpPr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B7702D96-1938-4E75-AB56-BF1C31FBA0D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Arrow Connector 87">
            <a:extLst>
              <a:ext uri="{FF2B5EF4-FFF2-40B4-BE49-F238E27FC236}">
                <a16:creationId xmlns:a16="http://schemas.microsoft.com/office/drawing/2014/main" id="{FBF5913E-2EFD-4893-9F6D-A2798271A4F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72</xdr:row>
      <xdr:rowOff>104775</xdr:rowOff>
    </xdr:from>
    <xdr:to>
      <xdr:col>9</xdr:col>
      <xdr:colOff>514350</xdr:colOff>
      <xdr:row>78</xdr:row>
      <xdr:rowOff>47625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42ED0B66-06D0-4C44-9621-7CAF00E8FE93}"/>
            </a:ext>
          </a:extLst>
        </xdr:cNvPr>
        <xdr:cNvGrpSpPr/>
      </xdr:nvGrpSpPr>
      <xdr:grpSpPr>
        <a:xfrm>
          <a:off x="5667375" y="12011025"/>
          <a:ext cx="409575" cy="914400"/>
          <a:chOff x="1924050" y="2390775"/>
          <a:chExt cx="409575" cy="914400"/>
        </a:xfrm>
      </xdr:grpSpPr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C31CED09-0E93-4CFB-BD39-2A4DDE61B66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Arrow Connector 90">
            <a:extLst>
              <a:ext uri="{FF2B5EF4-FFF2-40B4-BE49-F238E27FC236}">
                <a16:creationId xmlns:a16="http://schemas.microsoft.com/office/drawing/2014/main" id="{B3CEF676-A48D-484A-8906-2C77DE5C8F8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84</xdr:row>
      <xdr:rowOff>152400</xdr:rowOff>
    </xdr:from>
    <xdr:to>
      <xdr:col>9</xdr:col>
      <xdr:colOff>514350</xdr:colOff>
      <xdr:row>90</xdr:row>
      <xdr:rowOff>95250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789686D6-D4B3-4D8B-8134-D27F5579F830}"/>
            </a:ext>
          </a:extLst>
        </xdr:cNvPr>
        <xdr:cNvGrpSpPr/>
      </xdr:nvGrpSpPr>
      <xdr:grpSpPr>
        <a:xfrm>
          <a:off x="5667375" y="14001750"/>
          <a:ext cx="409575" cy="914400"/>
          <a:chOff x="1924050" y="2390775"/>
          <a:chExt cx="409575" cy="914400"/>
        </a:xfrm>
      </xdr:grpSpPr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B271054D-DF27-452E-AFEF-58E06761027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Arrow Connector 93">
            <a:extLst>
              <a:ext uri="{FF2B5EF4-FFF2-40B4-BE49-F238E27FC236}">
                <a16:creationId xmlns:a16="http://schemas.microsoft.com/office/drawing/2014/main" id="{B4BC5CB3-2C11-4EC3-97D4-42617990847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90</xdr:row>
      <xdr:rowOff>142875</xdr:rowOff>
    </xdr:from>
    <xdr:to>
      <xdr:col>9</xdr:col>
      <xdr:colOff>514350</xdr:colOff>
      <xdr:row>96</xdr:row>
      <xdr:rowOff>85725</xdr:rowOff>
    </xdr:to>
    <xdr:grpSp>
      <xdr:nvGrpSpPr>
        <xdr:cNvPr id="95" name="Group 94">
          <a:extLst>
            <a:ext uri="{FF2B5EF4-FFF2-40B4-BE49-F238E27FC236}">
              <a16:creationId xmlns:a16="http://schemas.microsoft.com/office/drawing/2014/main" id="{D6DA7983-76BB-4EB0-B374-D49A9F8F6677}"/>
            </a:ext>
          </a:extLst>
        </xdr:cNvPr>
        <xdr:cNvGrpSpPr/>
      </xdr:nvGrpSpPr>
      <xdr:grpSpPr>
        <a:xfrm>
          <a:off x="5667375" y="14963775"/>
          <a:ext cx="409575" cy="914400"/>
          <a:chOff x="1924050" y="2390775"/>
          <a:chExt cx="409575" cy="914400"/>
        </a:xfrm>
      </xdr:grpSpPr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86F21040-4E3A-4CFB-A79A-1A7316FF8CF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2925D905-812B-4586-8056-A3FEAD21D11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581025</xdr:colOff>
      <xdr:row>85</xdr:row>
      <xdr:rowOff>123825</xdr:rowOff>
    </xdr:from>
    <xdr:to>
      <xdr:col>5</xdr:col>
      <xdr:colOff>85725</xdr:colOff>
      <xdr:row>87</xdr:row>
      <xdr:rowOff>47625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A2631485-7A67-4908-BBC9-4227664D1191}"/>
            </a:ext>
          </a:extLst>
        </xdr:cNvPr>
        <xdr:cNvSpPr>
          <a:spLocks noChangeArrowheads="1"/>
        </xdr:cNvSpPr>
      </xdr:nvSpPr>
      <xdr:spPr bwMode="auto">
        <a:xfrm>
          <a:off x="2409825" y="14163675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571500</xdr:colOff>
      <xdr:row>88</xdr:row>
      <xdr:rowOff>123825</xdr:rowOff>
    </xdr:from>
    <xdr:to>
      <xdr:col>7</xdr:col>
      <xdr:colOff>76200</xdr:colOff>
      <xdr:row>90</xdr:row>
      <xdr:rowOff>47625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A608384A-7A24-4A25-8090-87F6C3E0186C}"/>
            </a:ext>
          </a:extLst>
        </xdr:cNvPr>
        <xdr:cNvSpPr>
          <a:spLocks noChangeArrowheads="1"/>
        </xdr:cNvSpPr>
      </xdr:nvSpPr>
      <xdr:spPr bwMode="auto">
        <a:xfrm>
          <a:off x="3695700" y="146494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590550</xdr:colOff>
      <xdr:row>91</xdr:row>
      <xdr:rowOff>123825</xdr:rowOff>
    </xdr:from>
    <xdr:to>
      <xdr:col>9</xdr:col>
      <xdr:colOff>95250</xdr:colOff>
      <xdr:row>93</xdr:row>
      <xdr:rowOff>47625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F0549143-D9AE-47C3-A40B-29F4CECC76AC}"/>
            </a:ext>
          </a:extLst>
        </xdr:cNvPr>
        <xdr:cNvSpPr>
          <a:spLocks noChangeArrowheads="1"/>
        </xdr:cNvSpPr>
      </xdr:nvSpPr>
      <xdr:spPr bwMode="auto">
        <a:xfrm>
          <a:off x="4933950" y="151352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11</xdr:col>
      <xdr:colOff>95250</xdr:colOff>
      <xdr:row>115</xdr:row>
      <xdr:rowOff>123825</xdr:rowOff>
    </xdr:from>
    <xdr:to>
      <xdr:col>11</xdr:col>
      <xdr:colOff>504825</xdr:colOff>
      <xdr:row>121</xdr:row>
      <xdr:rowOff>66675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487EB3C7-B827-473E-819C-3FAAA0BE0806}"/>
            </a:ext>
          </a:extLst>
        </xdr:cNvPr>
        <xdr:cNvGrpSpPr/>
      </xdr:nvGrpSpPr>
      <xdr:grpSpPr>
        <a:xfrm>
          <a:off x="6877050" y="19030950"/>
          <a:ext cx="409575" cy="914400"/>
          <a:chOff x="1924050" y="2390775"/>
          <a:chExt cx="409575" cy="914400"/>
        </a:xfrm>
      </xdr:grpSpPr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7EDC390B-0091-43C2-B2AE-9A0D9497CBB3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C8BC6652-1754-46A3-9A2F-B05B69E3BD4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120</xdr:row>
      <xdr:rowOff>38100</xdr:rowOff>
    </xdr:from>
    <xdr:to>
      <xdr:col>13</xdr:col>
      <xdr:colOff>504825</xdr:colOff>
      <xdr:row>121</xdr:row>
      <xdr:rowOff>142875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4B387587-0FFA-47A7-9E0C-EE137401930C}"/>
            </a:ext>
          </a:extLst>
        </xdr:cNvPr>
        <xdr:cNvCxnSpPr/>
      </xdr:nvCxnSpPr>
      <xdr:spPr>
        <a:xfrm flipV="1">
          <a:off x="8096250" y="197834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122</xdr:row>
      <xdr:rowOff>114300</xdr:rowOff>
    </xdr:from>
    <xdr:to>
      <xdr:col>13</xdr:col>
      <xdr:colOff>504825</xdr:colOff>
      <xdr:row>124</xdr:row>
      <xdr:rowOff>57150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8B0F7DC5-EEE4-4D69-BB6E-32919BAA279E}"/>
            </a:ext>
          </a:extLst>
        </xdr:cNvPr>
        <xdr:cNvCxnSpPr/>
      </xdr:nvCxnSpPr>
      <xdr:spPr>
        <a:xfrm>
          <a:off x="8096250" y="201834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112</xdr:row>
      <xdr:rowOff>85725</xdr:rowOff>
    </xdr:from>
    <xdr:to>
      <xdr:col>13</xdr:col>
      <xdr:colOff>504825</xdr:colOff>
      <xdr:row>114</xdr:row>
      <xdr:rowOff>28575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9A1D0CC5-9150-45C9-833F-4ED5C39A224D}"/>
            </a:ext>
          </a:extLst>
        </xdr:cNvPr>
        <xdr:cNvCxnSpPr/>
      </xdr:nvCxnSpPr>
      <xdr:spPr>
        <a:xfrm flipV="1">
          <a:off x="8096250" y="185356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115</xdr:row>
      <xdr:rowOff>152400</xdr:rowOff>
    </xdr:from>
    <xdr:to>
      <xdr:col>13</xdr:col>
      <xdr:colOff>504825</xdr:colOff>
      <xdr:row>117</xdr:row>
      <xdr:rowOff>95250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56793DAE-0133-4A80-8F10-AFCB46923C79}"/>
            </a:ext>
          </a:extLst>
        </xdr:cNvPr>
        <xdr:cNvCxnSpPr/>
      </xdr:nvCxnSpPr>
      <xdr:spPr>
        <a:xfrm>
          <a:off x="8096250" y="190881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116</xdr:row>
      <xdr:rowOff>47625</xdr:rowOff>
    </xdr:from>
    <xdr:to>
      <xdr:col>15</xdr:col>
      <xdr:colOff>514350</xdr:colOff>
      <xdr:row>117</xdr:row>
      <xdr:rowOff>152400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DCEA6C13-C2E7-4126-80D9-A27AFF37517D}"/>
            </a:ext>
          </a:extLst>
        </xdr:cNvPr>
        <xdr:cNvCxnSpPr/>
      </xdr:nvCxnSpPr>
      <xdr:spPr>
        <a:xfrm flipV="1">
          <a:off x="9324975" y="191452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118</xdr:row>
      <xdr:rowOff>123825</xdr:rowOff>
    </xdr:from>
    <xdr:to>
      <xdr:col>15</xdr:col>
      <xdr:colOff>514350</xdr:colOff>
      <xdr:row>120</xdr:row>
      <xdr:rowOff>66675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F5989767-451F-4487-AFCD-47C76D364BD9}"/>
            </a:ext>
          </a:extLst>
        </xdr:cNvPr>
        <xdr:cNvCxnSpPr/>
      </xdr:nvCxnSpPr>
      <xdr:spPr>
        <a:xfrm>
          <a:off x="9324975" y="195453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109</xdr:row>
      <xdr:rowOff>95250</xdr:rowOff>
    </xdr:from>
    <xdr:to>
      <xdr:col>15</xdr:col>
      <xdr:colOff>514350</xdr:colOff>
      <xdr:row>111</xdr:row>
      <xdr:rowOff>38100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261E39B6-9DD7-4CC7-9F6D-DA30178065C7}"/>
            </a:ext>
          </a:extLst>
        </xdr:cNvPr>
        <xdr:cNvCxnSpPr/>
      </xdr:nvCxnSpPr>
      <xdr:spPr>
        <a:xfrm flipV="1">
          <a:off x="9324975" y="180594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111</xdr:row>
      <xdr:rowOff>142875</xdr:rowOff>
    </xdr:from>
    <xdr:to>
      <xdr:col>15</xdr:col>
      <xdr:colOff>514350</xdr:colOff>
      <xdr:row>113</xdr:row>
      <xdr:rowOff>85725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E6920265-4AEE-4A78-B7AE-E1722C4FED06}"/>
            </a:ext>
          </a:extLst>
        </xdr:cNvPr>
        <xdr:cNvCxnSpPr/>
      </xdr:nvCxnSpPr>
      <xdr:spPr>
        <a:xfrm>
          <a:off x="9324975" y="184308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123</xdr:row>
      <xdr:rowOff>85725</xdr:rowOff>
    </xdr:from>
    <xdr:to>
      <xdr:col>15</xdr:col>
      <xdr:colOff>514350</xdr:colOff>
      <xdr:row>125</xdr:row>
      <xdr:rowOff>28575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4EBB7A5F-1BB5-4A06-982E-3184A9830ED8}"/>
            </a:ext>
          </a:extLst>
        </xdr:cNvPr>
        <xdr:cNvCxnSpPr/>
      </xdr:nvCxnSpPr>
      <xdr:spPr>
        <a:xfrm flipV="1">
          <a:off x="9324975" y="203168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125</xdr:row>
      <xdr:rowOff>152400</xdr:rowOff>
    </xdr:from>
    <xdr:to>
      <xdr:col>15</xdr:col>
      <xdr:colOff>514350</xdr:colOff>
      <xdr:row>127</xdr:row>
      <xdr:rowOff>95250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3296571A-2AA4-4D8D-B40A-422507122514}"/>
            </a:ext>
          </a:extLst>
        </xdr:cNvPr>
        <xdr:cNvCxnSpPr/>
      </xdr:nvCxnSpPr>
      <xdr:spPr>
        <a:xfrm>
          <a:off x="9324975" y="207073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115</xdr:row>
      <xdr:rowOff>123825</xdr:rowOff>
    </xdr:from>
    <xdr:to>
      <xdr:col>3</xdr:col>
      <xdr:colOff>504825</xdr:colOff>
      <xdr:row>121</xdr:row>
      <xdr:rowOff>66675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2185F7DE-61C0-4279-B1BD-25DDDA32F6B4}"/>
            </a:ext>
          </a:extLst>
        </xdr:cNvPr>
        <xdr:cNvGrpSpPr/>
      </xdr:nvGrpSpPr>
      <xdr:grpSpPr>
        <a:xfrm>
          <a:off x="1924050" y="19030950"/>
          <a:ext cx="409575" cy="914400"/>
          <a:chOff x="1924050" y="2390775"/>
          <a:chExt cx="409575" cy="914400"/>
        </a:xfrm>
      </xdr:grpSpPr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9DF62CA1-6363-4D9C-AAC8-371D9E05B25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D5E57C1F-F4B0-40AC-90A7-7321DD6598B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120</xdr:row>
      <xdr:rowOff>38100</xdr:rowOff>
    </xdr:from>
    <xdr:to>
      <xdr:col>5</xdr:col>
      <xdr:colOff>504825</xdr:colOff>
      <xdr:row>121</xdr:row>
      <xdr:rowOff>142875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id="{5989280A-F9BB-4410-8333-2F1FE457CC28}"/>
            </a:ext>
          </a:extLst>
        </xdr:cNvPr>
        <xdr:cNvCxnSpPr/>
      </xdr:nvCxnSpPr>
      <xdr:spPr>
        <a:xfrm flipV="1">
          <a:off x="3219450" y="197834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122</xdr:row>
      <xdr:rowOff>114300</xdr:rowOff>
    </xdr:from>
    <xdr:to>
      <xdr:col>5</xdr:col>
      <xdr:colOff>504825</xdr:colOff>
      <xdr:row>124</xdr:row>
      <xdr:rowOff>57150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id="{E662D8CB-081E-4284-81DF-15D11ED2B5F3}"/>
            </a:ext>
          </a:extLst>
        </xdr:cNvPr>
        <xdr:cNvCxnSpPr/>
      </xdr:nvCxnSpPr>
      <xdr:spPr>
        <a:xfrm>
          <a:off x="3219450" y="201834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112</xdr:row>
      <xdr:rowOff>85725</xdr:rowOff>
    </xdr:from>
    <xdr:to>
      <xdr:col>5</xdr:col>
      <xdr:colOff>504825</xdr:colOff>
      <xdr:row>114</xdr:row>
      <xdr:rowOff>28575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9EF234F3-343A-4A57-B6DF-BB1751E3EA54}"/>
            </a:ext>
          </a:extLst>
        </xdr:cNvPr>
        <xdr:cNvCxnSpPr/>
      </xdr:nvCxnSpPr>
      <xdr:spPr>
        <a:xfrm flipV="1">
          <a:off x="3219450" y="185356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115</xdr:row>
      <xdr:rowOff>152400</xdr:rowOff>
    </xdr:from>
    <xdr:to>
      <xdr:col>5</xdr:col>
      <xdr:colOff>504825</xdr:colOff>
      <xdr:row>117</xdr:row>
      <xdr:rowOff>95250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10CEAF9D-E161-46DC-A57D-CF40B766271E}"/>
            </a:ext>
          </a:extLst>
        </xdr:cNvPr>
        <xdr:cNvCxnSpPr/>
      </xdr:nvCxnSpPr>
      <xdr:spPr>
        <a:xfrm>
          <a:off x="3219450" y="190881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116</xdr:row>
      <xdr:rowOff>47625</xdr:rowOff>
    </xdr:from>
    <xdr:to>
      <xdr:col>7</xdr:col>
      <xdr:colOff>514350</xdr:colOff>
      <xdr:row>117</xdr:row>
      <xdr:rowOff>152400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E7622D7E-B083-4A08-BAF8-EC77021E2A62}"/>
            </a:ext>
          </a:extLst>
        </xdr:cNvPr>
        <xdr:cNvCxnSpPr/>
      </xdr:nvCxnSpPr>
      <xdr:spPr>
        <a:xfrm flipV="1">
          <a:off x="4448175" y="191452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118</xdr:row>
      <xdr:rowOff>123825</xdr:rowOff>
    </xdr:from>
    <xdr:to>
      <xdr:col>7</xdr:col>
      <xdr:colOff>514350</xdr:colOff>
      <xdr:row>120</xdr:row>
      <xdr:rowOff>66675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F2292042-BED8-4ACC-9DE8-7E6EDC907458}"/>
            </a:ext>
          </a:extLst>
        </xdr:cNvPr>
        <xdr:cNvCxnSpPr/>
      </xdr:nvCxnSpPr>
      <xdr:spPr>
        <a:xfrm>
          <a:off x="4448175" y="195453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109</xdr:row>
      <xdr:rowOff>95250</xdr:rowOff>
    </xdr:from>
    <xdr:to>
      <xdr:col>7</xdr:col>
      <xdr:colOff>514350</xdr:colOff>
      <xdr:row>111</xdr:row>
      <xdr:rowOff>38100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2DC474DE-AF06-4442-87BC-CE96FFBA3266}"/>
            </a:ext>
          </a:extLst>
        </xdr:cNvPr>
        <xdr:cNvCxnSpPr/>
      </xdr:nvCxnSpPr>
      <xdr:spPr>
        <a:xfrm flipV="1">
          <a:off x="4448175" y="180594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111</xdr:row>
      <xdr:rowOff>142875</xdr:rowOff>
    </xdr:from>
    <xdr:to>
      <xdr:col>7</xdr:col>
      <xdr:colOff>514350</xdr:colOff>
      <xdr:row>113</xdr:row>
      <xdr:rowOff>85725</xdr:rowOff>
    </xdr:to>
    <xdr:cxnSp macro="">
      <xdr:nvCxnSpPr>
        <xdr:cNvPr id="124" name="Straight Arrow Connector 123">
          <a:extLst>
            <a:ext uri="{FF2B5EF4-FFF2-40B4-BE49-F238E27FC236}">
              <a16:creationId xmlns:a16="http://schemas.microsoft.com/office/drawing/2014/main" id="{ACF31B3A-77B3-475C-AA90-5C681D837C0C}"/>
            </a:ext>
          </a:extLst>
        </xdr:cNvPr>
        <xdr:cNvCxnSpPr/>
      </xdr:nvCxnSpPr>
      <xdr:spPr>
        <a:xfrm>
          <a:off x="4448175" y="184308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123</xdr:row>
      <xdr:rowOff>85725</xdr:rowOff>
    </xdr:from>
    <xdr:to>
      <xdr:col>7</xdr:col>
      <xdr:colOff>514350</xdr:colOff>
      <xdr:row>125</xdr:row>
      <xdr:rowOff>28575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id="{32A7FDFC-556C-469F-88C3-74D2D824A7B5}"/>
            </a:ext>
          </a:extLst>
        </xdr:cNvPr>
        <xdr:cNvCxnSpPr/>
      </xdr:nvCxnSpPr>
      <xdr:spPr>
        <a:xfrm flipV="1">
          <a:off x="4448175" y="203168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125</xdr:row>
      <xdr:rowOff>152400</xdr:rowOff>
    </xdr:from>
    <xdr:to>
      <xdr:col>7</xdr:col>
      <xdr:colOff>514350</xdr:colOff>
      <xdr:row>127</xdr:row>
      <xdr:rowOff>95250</xdr:rowOff>
    </xdr:to>
    <xdr:cxnSp macro="">
      <xdr:nvCxnSpPr>
        <xdr:cNvPr id="126" name="Straight Arrow Connector 125">
          <a:extLst>
            <a:ext uri="{FF2B5EF4-FFF2-40B4-BE49-F238E27FC236}">
              <a16:creationId xmlns:a16="http://schemas.microsoft.com/office/drawing/2014/main" id="{D0BB2236-B910-438E-9B63-7504D332DD4A}"/>
            </a:ext>
          </a:extLst>
        </xdr:cNvPr>
        <xdr:cNvCxnSpPr/>
      </xdr:nvCxnSpPr>
      <xdr:spPr>
        <a:xfrm>
          <a:off x="4448175" y="207073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107</xdr:row>
      <xdr:rowOff>133350</xdr:rowOff>
    </xdr:from>
    <xdr:to>
      <xdr:col>17</xdr:col>
      <xdr:colOff>95250</xdr:colOff>
      <xdr:row>109</xdr:row>
      <xdr:rowOff>57150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5C3E12A0-8F92-4C9F-872C-401B34979997}"/>
            </a:ext>
          </a:extLst>
        </xdr:cNvPr>
        <xdr:cNvSpPr>
          <a:spLocks noChangeArrowheads="1"/>
        </xdr:cNvSpPr>
      </xdr:nvSpPr>
      <xdr:spPr bwMode="auto">
        <a:xfrm>
          <a:off x="9810750" y="177736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111</xdr:row>
      <xdr:rowOff>123825</xdr:rowOff>
    </xdr:from>
    <xdr:to>
      <xdr:col>17</xdr:col>
      <xdr:colOff>95250</xdr:colOff>
      <xdr:row>113</xdr:row>
      <xdr:rowOff>47625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CD960194-F954-4BBB-BA5D-5A9F7745AA79}"/>
            </a:ext>
          </a:extLst>
        </xdr:cNvPr>
        <xdr:cNvSpPr>
          <a:spLocks noChangeArrowheads="1"/>
        </xdr:cNvSpPr>
      </xdr:nvSpPr>
      <xdr:spPr bwMode="auto">
        <a:xfrm>
          <a:off x="9810750" y="184118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115</xdr:row>
      <xdr:rowOff>133350</xdr:rowOff>
    </xdr:from>
    <xdr:to>
      <xdr:col>17</xdr:col>
      <xdr:colOff>95250</xdr:colOff>
      <xdr:row>117</xdr:row>
      <xdr:rowOff>57150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4BED8352-31B7-45FE-8544-CD9F6FF76CB9}"/>
            </a:ext>
          </a:extLst>
        </xdr:cNvPr>
        <xdr:cNvSpPr>
          <a:spLocks noChangeArrowheads="1"/>
        </xdr:cNvSpPr>
      </xdr:nvSpPr>
      <xdr:spPr bwMode="auto">
        <a:xfrm>
          <a:off x="9810750" y="190690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119</xdr:row>
      <xdr:rowOff>142875</xdr:rowOff>
    </xdr:from>
    <xdr:to>
      <xdr:col>17</xdr:col>
      <xdr:colOff>95250</xdr:colOff>
      <xdr:row>121</xdr:row>
      <xdr:rowOff>66675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75F7CFA1-AA48-4D16-A981-3947C26B60FE}"/>
            </a:ext>
          </a:extLst>
        </xdr:cNvPr>
        <xdr:cNvSpPr>
          <a:spLocks noChangeArrowheads="1"/>
        </xdr:cNvSpPr>
      </xdr:nvSpPr>
      <xdr:spPr bwMode="auto">
        <a:xfrm>
          <a:off x="9810750" y="1972627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979B-6A5E-4EFE-9BA2-71CDAEEF3039}">
  <dimension ref="A1:A4"/>
  <sheetViews>
    <sheetView workbookViewId="0">
      <selection activeCell="H8" sqref="G8:H8"/>
    </sheetView>
  </sheetViews>
  <sheetFormatPr defaultRowHeight="12.75" x14ac:dyDescent="0.2"/>
  <sheetData>
    <row r="1" spans="1:1" ht="26.25" x14ac:dyDescent="0.4">
      <c r="A1" s="81" t="s">
        <v>101</v>
      </c>
    </row>
    <row r="3" spans="1:1" x14ac:dyDescent="0.2">
      <c r="A3" s="82" t="s">
        <v>102</v>
      </c>
    </row>
    <row r="4" spans="1:1" x14ac:dyDescent="0.2">
      <c r="A4" s="82" t="s">
        <v>103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3683-328F-4ECC-B2D7-33484C61FECD}">
  <dimension ref="A1:U104"/>
  <sheetViews>
    <sheetView topLeftCell="A66" workbookViewId="0">
      <selection activeCell="K54" sqref="K54"/>
    </sheetView>
  </sheetViews>
  <sheetFormatPr defaultRowHeight="12.75" x14ac:dyDescent="0.2"/>
  <cols>
    <col min="1" max="1" width="10.5703125" customWidth="1"/>
    <col min="2" max="4" width="9.140625" customWidth="1"/>
    <col min="5" max="5" width="10.28515625" customWidth="1"/>
    <col min="6" max="6" width="9.140625" customWidth="1"/>
  </cols>
  <sheetData>
    <row r="1" spans="1:19" ht="18" x14ac:dyDescent="0.25">
      <c r="A1" s="42" t="s">
        <v>98</v>
      </c>
    </row>
    <row r="2" spans="1:19" x14ac:dyDescent="0.2">
      <c r="A2" s="9" t="s">
        <v>88</v>
      </c>
      <c r="B2" s="55"/>
    </row>
    <row r="3" spans="1:19" s="60" customFormat="1" ht="30" customHeight="1" x14ac:dyDescent="0.2">
      <c r="A3" s="23" t="s">
        <v>80</v>
      </c>
      <c r="B3" s="66" t="s">
        <v>81</v>
      </c>
      <c r="C3" s="23" t="s">
        <v>82</v>
      </c>
      <c r="D3" s="23" t="s">
        <v>83</v>
      </c>
    </row>
    <row r="4" spans="1:19" ht="15" customHeight="1" x14ac:dyDescent="0.2">
      <c r="B4" s="55"/>
    </row>
    <row r="5" spans="1:19" ht="15" customHeight="1" x14ac:dyDescent="0.2">
      <c r="A5" s="61">
        <v>1</v>
      </c>
      <c r="B5" s="55">
        <v>0.01</v>
      </c>
      <c r="C5" s="7">
        <f>B5</f>
        <v>0.01</v>
      </c>
    </row>
    <row r="6" spans="1:19" ht="15" customHeight="1" x14ac:dyDescent="0.2">
      <c r="A6" s="61">
        <v>2</v>
      </c>
      <c r="B6" s="55">
        <v>1.2E-2</v>
      </c>
      <c r="C6" s="54">
        <f>((1+B6)/(1-(B6/(1+C$5))))^(1/A6)-1</f>
        <v>1.2012023976665454E-2</v>
      </c>
      <c r="D6" s="54">
        <f>(1+C6)^A6/(1+C5)^A5-1</f>
        <v>1.4028056112224796E-2</v>
      </c>
      <c r="F6" s="7"/>
      <c r="G6" s="7"/>
    </row>
    <row r="7" spans="1:19" ht="15" customHeight="1" x14ac:dyDescent="0.2">
      <c r="A7" s="61">
        <v>3</v>
      </c>
      <c r="B7" s="55">
        <v>1.2500000000000001E-2</v>
      </c>
      <c r="C7" s="54">
        <f>((1+B7)/(1-(B7/(1+C$5))-B7/((1+C$6)^A$6)))^(1/A7) - 1</f>
        <v>1.2514642813157728E-2</v>
      </c>
      <c r="D7" s="54">
        <f t="shared" ref="D7:D9" si="0">(1+C7)^A7/(1+C6)^A6-1</f>
        <v>1.3520629491621916E-2</v>
      </c>
    </row>
    <row r="8" spans="1:19" ht="15" customHeight="1" x14ac:dyDescent="0.2">
      <c r="A8" s="61">
        <v>4</v>
      </c>
      <c r="B8" s="55">
        <v>1.4E-2</v>
      </c>
      <c r="C8" s="54">
        <f>((1+B8)/(1-(B8/(1+C$5))-B8/((1+C$6)^A$6) -B8/((1+C$7)^A$7)  ))^(1/A8) - 1</f>
        <v>1.4044250893870069E-2</v>
      </c>
      <c r="D8" s="54">
        <f t="shared" si="0"/>
        <v>1.8646953798491461E-2</v>
      </c>
    </row>
    <row r="9" spans="1:19" ht="15" customHeight="1" x14ac:dyDescent="0.25">
      <c r="A9" s="61">
        <v>5</v>
      </c>
      <c r="B9" s="55">
        <v>1.7999999999999999E-2</v>
      </c>
      <c r="C9" s="54">
        <f>((1+B9)/(1-(B9/(1+C$5))-B9/((1+C$6)^A$6) -B9/((1+C$7)^A$7) - B9/((1+C$8)^A$8)  ))^(1/A9) - 1</f>
        <v>1.819429653457405E-2</v>
      </c>
      <c r="D9" s="54">
        <f t="shared" si="0"/>
        <v>3.4965019080921422E-2</v>
      </c>
      <c r="H9" s="62"/>
    </row>
    <row r="10" spans="1:19" x14ac:dyDescent="0.2">
      <c r="B10" s="55"/>
    </row>
    <row r="11" spans="1:19" ht="14.25" x14ac:dyDescent="0.2">
      <c r="A11" s="9" t="s">
        <v>55</v>
      </c>
      <c r="B11" s="63" t="s">
        <v>89</v>
      </c>
      <c r="C11" s="64">
        <v>0.15</v>
      </c>
      <c r="L11" s="9" t="s">
        <v>55</v>
      </c>
      <c r="M11" s="63" t="s">
        <v>89</v>
      </c>
      <c r="N11" s="64">
        <v>0.2</v>
      </c>
    </row>
    <row r="12" spans="1:19" x14ac:dyDescent="0.2">
      <c r="B12" s="55"/>
      <c r="H12" s="55"/>
      <c r="M12" s="9"/>
      <c r="N12" s="9"/>
      <c r="O12" s="9"/>
      <c r="P12" s="9"/>
      <c r="Q12" s="9"/>
      <c r="R12" s="9"/>
      <c r="S12" s="9"/>
    </row>
    <row r="13" spans="1:19" x14ac:dyDescent="0.2">
      <c r="B13" s="9" t="s">
        <v>1</v>
      </c>
      <c r="C13" s="9"/>
      <c r="D13" s="9" t="s">
        <v>2</v>
      </c>
      <c r="E13" s="9"/>
      <c r="F13" s="9" t="s">
        <v>3</v>
      </c>
      <c r="G13" s="9"/>
      <c r="H13" s="9" t="s">
        <v>4</v>
      </c>
      <c r="M13" s="9" t="s">
        <v>1</v>
      </c>
      <c r="N13" s="9"/>
      <c r="O13" s="9" t="s">
        <v>2</v>
      </c>
      <c r="P13" s="9"/>
      <c r="Q13" s="9" t="s">
        <v>3</v>
      </c>
      <c r="R13" s="9"/>
      <c r="S13" s="9" t="s">
        <v>4</v>
      </c>
    </row>
    <row r="14" spans="1:19" x14ac:dyDescent="0.2">
      <c r="B14" s="55"/>
      <c r="I14" s="54"/>
      <c r="M14" s="55"/>
    </row>
    <row r="15" spans="1:19" x14ac:dyDescent="0.2">
      <c r="B15" s="54"/>
      <c r="D15" s="54"/>
      <c r="F15" s="54"/>
      <c r="H15" s="54">
        <v>2.8337999999999999E-2</v>
      </c>
      <c r="I15" s="54"/>
      <c r="M15" s="54"/>
      <c r="O15" s="54"/>
      <c r="Q15" s="54"/>
      <c r="S15" s="54">
        <v>3.2134000000000003E-2</v>
      </c>
    </row>
    <row r="16" spans="1:19" x14ac:dyDescent="0.2">
      <c r="B16" s="54"/>
      <c r="D16" s="54"/>
      <c r="F16" s="54">
        <v>1.7863E-2</v>
      </c>
      <c r="H16" s="54"/>
      <c r="I16" s="54"/>
      <c r="M16" s="54"/>
      <c r="O16" s="54"/>
      <c r="Q16" s="54">
        <v>1.9415000000000002E-2</v>
      </c>
      <c r="S16" s="54"/>
    </row>
    <row r="17" spans="2:19" x14ac:dyDescent="0.2">
      <c r="B17" s="54"/>
      <c r="D17" s="54">
        <v>1.6121E-2</v>
      </c>
      <c r="F17" s="54"/>
      <c r="H17" s="54">
        <v>2.0993999999999999E-2</v>
      </c>
      <c r="I17" s="54"/>
      <c r="M17" s="54"/>
      <c r="O17" s="54">
        <v>1.6806000000000001E-2</v>
      </c>
      <c r="Q17" s="54"/>
      <c r="S17" s="54">
        <v>2.154E-2</v>
      </c>
    </row>
    <row r="18" spans="2:19" x14ac:dyDescent="0.2">
      <c r="B18" s="54">
        <v>0.01</v>
      </c>
      <c r="D18" s="54"/>
      <c r="F18" s="54">
        <v>1.3233E-2</v>
      </c>
      <c r="H18" s="54"/>
      <c r="I18" s="54"/>
      <c r="M18" s="54">
        <v>0.01</v>
      </c>
      <c r="O18" s="54"/>
      <c r="Q18" s="54">
        <v>1.3014E-2</v>
      </c>
      <c r="S18" s="54"/>
    </row>
    <row r="19" spans="2:19" x14ac:dyDescent="0.2">
      <c r="B19" s="54"/>
      <c r="D19" s="54">
        <v>1.1943E-2</v>
      </c>
      <c r="F19" s="54"/>
      <c r="H19" s="54">
        <v>1.5552E-2</v>
      </c>
      <c r="I19" s="54"/>
      <c r="M19" s="54"/>
      <c r="O19" s="54">
        <v>1.1265000000000001E-2</v>
      </c>
      <c r="Q19" s="54"/>
      <c r="S19" s="54">
        <v>1.4439E-2</v>
      </c>
    </row>
    <row r="20" spans="2:19" x14ac:dyDescent="0.2">
      <c r="B20" s="54"/>
      <c r="D20" s="54"/>
      <c r="F20" s="54">
        <v>9.8029999999999992E-3</v>
      </c>
      <c r="H20" s="54"/>
      <c r="M20" s="54"/>
      <c r="O20" s="54"/>
      <c r="Q20" s="54">
        <v>8.7240000000000009E-3</v>
      </c>
      <c r="S20" s="54"/>
    </row>
    <row r="21" spans="2:19" x14ac:dyDescent="0.2">
      <c r="B21" s="54"/>
      <c r="D21" s="54"/>
      <c r="F21" s="54"/>
      <c r="H21" s="54">
        <v>1.1521E-2</v>
      </c>
      <c r="M21" s="54"/>
      <c r="O21" s="54"/>
      <c r="Q21" s="54"/>
      <c r="S21" s="54">
        <v>9.6780000000000008E-3</v>
      </c>
    </row>
    <row r="22" spans="2:19" x14ac:dyDescent="0.2">
      <c r="B22" s="54"/>
      <c r="D22" s="54"/>
      <c r="F22" s="54"/>
      <c r="H22" s="54"/>
      <c r="J22" s="56"/>
      <c r="L22" s="56"/>
      <c r="M22" s="54"/>
      <c r="N22" s="54"/>
      <c r="O22" s="54"/>
      <c r="P22" s="54"/>
    </row>
    <row r="23" spans="2:19" x14ac:dyDescent="0.2">
      <c r="B23" t="s">
        <v>86</v>
      </c>
      <c r="D23" s="7">
        <f>D6</f>
        <v>1.4028056112224796E-2</v>
      </c>
      <c r="F23" s="7">
        <f>D7</f>
        <v>1.3520629491621916E-2</v>
      </c>
      <c r="H23" s="7">
        <f>D8</f>
        <v>1.8646953798491461E-2</v>
      </c>
      <c r="J23" s="56"/>
      <c r="M23" t="s">
        <v>86</v>
      </c>
      <c r="O23" s="7">
        <f>D6</f>
        <v>1.4028056112224796E-2</v>
      </c>
      <c r="Q23" s="7">
        <f>D7</f>
        <v>1.3520629491621916E-2</v>
      </c>
      <c r="S23" s="7">
        <f>D8</f>
        <v>1.8646953798491461E-2</v>
      </c>
    </row>
    <row r="24" spans="2:19" x14ac:dyDescent="0.2">
      <c r="B24" s="55" t="s">
        <v>87</v>
      </c>
      <c r="D24" s="7">
        <f>AVERAGE(D15:D21)</f>
        <v>1.4031999999999999E-2</v>
      </c>
      <c r="F24" s="7">
        <f>AVERAGE(F15:F21)</f>
        <v>1.3632999999999999E-2</v>
      </c>
      <c r="H24" s="7">
        <f>AVERAGE(H15:H21)</f>
        <v>1.910125E-2</v>
      </c>
      <c r="J24" s="56"/>
      <c r="M24" s="55" t="s">
        <v>87</v>
      </c>
      <c r="O24" s="7">
        <f>AVERAGE(O15:O21)</f>
        <v>1.4035500000000001E-2</v>
      </c>
      <c r="Q24" s="7">
        <f>AVERAGE(Q15:Q21)</f>
        <v>1.3717666666666668E-2</v>
      </c>
      <c r="S24" s="7">
        <f>AVERAGE(S15:S21)</f>
        <v>1.9447750000000003E-2</v>
      </c>
    </row>
    <row r="25" spans="2:19" x14ac:dyDescent="0.2">
      <c r="B25" s="55"/>
      <c r="D25" s="7"/>
      <c r="F25" s="7"/>
      <c r="H25" s="7"/>
      <c r="J25" s="56"/>
      <c r="L25" s="55"/>
      <c r="N25" s="7"/>
      <c r="P25" s="7"/>
      <c r="S25" s="7"/>
    </row>
    <row r="26" spans="2:19" x14ac:dyDescent="0.2">
      <c r="B26" s="55" t="s">
        <v>84</v>
      </c>
      <c r="D26" s="7">
        <f>D17</f>
        <v>1.6121E-2</v>
      </c>
      <c r="F26" s="7">
        <f>F16</f>
        <v>1.7863E-2</v>
      </c>
      <c r="H26" s="7">
        <f>H15</f>
        <v>2.8337999999999999E-2</v>
      </c>
      <c r="J26" s="56"/>
      <c r="L26" s="56"/>
      <c r="M26" s="55" t="s">
        <v>84</v>
      </c>
      <c r="N26" s="7">
        <f>O17</f>
        <v>1.6806000000000001E-2</v>
      </c>
      <c r="P26" s="7">
        <f>Q16</f>
        <v>1.9415000000000002E-2</v>
      </c>
      <c r="S26" s="7">
        <f>S15</f>
        <v>3.2134000000000003E-2</v>
      </c>
    </row>
    <row r="27" spans="2:19" x14ac:dyDescent="0.2">
      <c r="B27" s="55"/>
      <c r="D27" s="54">
        <f>(D19)*EXP(2*C11)</f>
        <v>1.6121363738880207E-2</v>
      </c>
      <c r="F27" s="54">
        <f>(F18)*EXP(2*$C$11)</f>
        <v>1.7862681600653251E-2</v>
      </c>
      <c r="H27" s="54">
        <f>(H17)*EXP(2*$C$11)</f>
        <v>2.8338935806250611E-2</v>
      </c>
      <c r="J27" s="56"/>
      <c r="L27" s="56"/>
      <c r="M27" s="55"/>
      <c r="N27" s="54">
        <f>(O19)*EXP(2*N11)</f>
        <v>1.6805405218928912E-2</v>
      </c>
      <c r="P27" s="54">
        <f>(Q18)*EXP(2*$N$11)</f>
        <v>1.941460661510349E-2</v>
      </c>
      <c r="S27" s="54">
        <f>(S17)*EXP(2*$N$11)</f>
        <v>3.2133903987192965E-2</v>
      </c>
    </row>
    <row r="28" spans="2:19" x14ac:dyDescent="0.2">
      <c r="B28" s="55"/>
      <c r="F28" s="7">
        <f>F18</f>
        <v>1.3233E-2</v>
      </c>
      <c r="H28" s="7">
        <f>H17</f>
        <v>2.0993999999999999E-2</v>
      </c>
      <c r="J28" s="56"/>
      <c r="L28" s="56"/>
      <c r="M28" s="55"/>
      <c r="P28" s="7">
        <f>Q18</f>
        <v>1.3014E-2</v>
      </c>
      <c r="S28" s="7">
        <f>S17</f>
        <v>2.154E-2</v>
      </c>
    </row>
    <row r="29" spans="2:19" x14ac:dyDescent="0.2">
      <c r="B29" s="55"/>
      <c r="F29" s="54">
        <f>(F20)*EXP(2*$C$11)</f>
        <v>1.3232665890667558E-2</v>
      </c>
      <c r="H29" s="54">
        <f>(H19)*EXP(2*$C$11)</f>
        <v>2.0993004175422002E-2</v>
      </c>
      <c r="J29" s="56"/>
      <c r="L29" s="56"/>
      <c r="M29" s="55"/>
      <c r="P29" s="54">
        <f>(Q20)*EXP(2*$N$11)</f>
        <v>1.3014678662222444E-2</v>
      </c>
      <c r="S29" s="54">
        <f>(S19)*EXP(2*$N$11)</f>
        <v>2.1540456809242305E-2</v>
      </c>
    </row>
    <row r="30" spans="2:19" x14ac:dyDescent="0.2">
      <c r="B30" s="55"/>
      <c r="H30" s="7">
        <f>H19</f>
        <v>1.5552E-2</v>
      </c>
      <c r="J30" s="56"/>
      <c r="L30" s="56"/>
      <c r="M30" s="55"/>
      <c r="S30" s="7">
        <f>S19</f>
        <v>1.4439E-2</v>
      </c>
    </row>
    <row r="31" spans="2:19" x14ac:dyDescent="0.2">
      <c r="B31" s="55"/>
      <c r="H31" s="54">
        <f>(H21)*EXP(2*$C$11)</f>
        <v>1.5551723322083133E-2</v>
      </c>
      <c r="J31" s="56"/>
      <c r="L31" s="56"/>
      <c r="M31" s="55"/>
      <c r="S31" s="54">
        <f>(S21)*EXP(2*$N$11)</f>
        <v>1.4437879423772216E-2</v>
      </c>
    </row>
    <row r="32" spans="2:19" x14ac:dyDescent="0.2">
      <c r="B32" s="55"/>
      <c r="D32" s="7"/>
      <c r="F32" s="7"/>
      <c r="H32" s="7"/>
      <c r="J32" s="56"/>
      <c r="K32" s="56"/>
      <c r="L32" s="54"/>
      <c r="M32" s="54"/>
      <c r="N32" s="54"/>
      <c r="O32" s="54"/>
    </row>
    <row r="33" spans="1:21" x14ac:dyDescent="0.2">
      <c r="B33" s="55"/>
      <c r="D33" s="7"/>
      <c r="F33" s="7"/>
      <c r="H33" s="7"/>
      <c r="J33" s="56"/>
      <c r="K33" s="56"/>
      <c r="L33" s="54"/>
      <c r="M33" s="54"/>
      <c r="N33" s="54"/>
      <c r="O33" s="54"/>
    </row>
    <row r="34" spans="1:21" ht="14.25" x14ac:dyDescent="0.2">
      <c r="A34" s="9" t="s">
        <v>85</v>
      </c>
      <c r="B34" s="55"/>
      <c r="D34" s="7"/>
      <c r="E34" s="63" t="s">
        <v>89</v>
      </c>
      <c r="F34" s="65">
        <f>C11</f>
        <v>0.15</v>
      </c>
      <c r="H34" s="7"/>
      <c r="J34" s="56"/>
      <c r="K34" s="56"/>
      <c r="L34" s="9" t="s">
        <v>85</v>
      </c>
      <c r="M34" s="55"/>
      <c r="O34" s="7"/>
      <c r="P34" s="63" t="s">
        <v>89</v>
      </c>
      <c r="Q34" s="65">
        <f>N11</f>
        <v>0.2</v>
      </c>
    </row>
    <row r="35" spans="1:21" x14ac:dyDescent="0.2">
      <c r="B35" s="55"/>
      <c r="D35" s="7"/>
      <c r="F35" s="7"/>
      <c r="H35" s="7"/>
      <c r="J35" s="56"/>
      <c r="K35" s="56"/>
      <c r="L35" s="54"/>
      <c r="M35" s="54"/>
      <c r="N35" s="54"/>
      <c r="O35" s="54"/>
    </row>
    <row r="36" spans="1:21" x14ac:dyDescent="0.2">
      <c r="B36" s="9" t="s">
        <v>1</v>
      </c>
      <c r="C36" s="9"/>
      <c r="D36" s="9" t="s">
        <v>2</v>
      </c>
      <c r="E36" s="9"/>
      <c r="F36" s="9" t="s">
        <v>3</v>
      </c>
      <c r="G36" s="9"/>
      <c r="H36" s="9" t="s">
        <v>4</v>
      </c>
      <c r="I36" s="9"/>
      <c r="J36" s="9" t="s">
        <v>5</v>
      </c>
      <c r="K36" s="56"/>
      <c r="M36" s="9" t="s">
        <v>1</v>
      </c>
      <c r="N36" s="9"/>
      <c r="O36" s="9" t="s">
        <v>2</v>
      </c>
      <c r="P36" s="9"/>
      <c r="Q36" s="9" t="s">
        <v>3</v>
      </c>
      <c r="R36" s="9"/>
      <c r="S36" s="9" t="s">
        <v>4</v>
      </c>
      <c r="T36" s="9"/>
      <c r="U36" s="9" t="s">
        <v>5</v>
      </c>
    </row>
    <row r="37" spans="1:21" x14ac:dyDescent="0.2">
      <c r="B37" s="55"/>
      <c r="D37" s="7"/>
      <c r="F37" s="7"/>
      <c r="H37" s="7"/>
      <c r="J37" s="56"/>
      <c r="K37" s="56"/>
      <c r="M37" s="55"/>
      <c r="O37" s="7"/>
      <c r="Q37" s="7"/>
      <c r="S37" s="7"/>
      <c r="U37" s="56"/>
    </row>
    <row r="38" spans="1:21" x14ac:dyDescent="0.2">
      <c r="B38" s="54"/>
      <c r="D38" s="54"/>
      <c r="F38" s="54"/>
      <c r="H38" s="54"/>
      <c r="J38" s="2">
        <v>100</v>
      </c>
      <c r="K38" s="56"/>
      <c r="M38" s="54"/>
      <c r="O38" s="54"/>
      <c r="Q38" s="54"/>
      <c r="S38" s="54"/>
      <c r="U38" s="2">
        <v>100</v>
      </c>
    </row>
    <row r="39" spans="1:21" x14ac:dyDescent="0.2">
      <c r="B39" s="55"/>
      <c r="J39" s="3">
        <v>1.4</v>
      </c>
      <c r="M39" s="55"/>
      <c r="U39" s="3">
        <v>1.4</v>
      </c>
    </row>
    <row r="40" spans="1:21" x14ac:dyDescent="0.2">
      <c r="B40" s="55"/>
      <c r="J40" s="4" t="s">
        <v>0</v>
      </c>
      <c r="K40" s="57"/>
      <c r="M40" s="55"/>
      <c r="U40" s="4" t="s">
        <v>0</v>
      </c>
    </row>
    <row r="41" spans="1:21" x14ac:dyDescent="0.2">
      <c r="H41" s="2">
        <f>0.5*(J38+J39)/(1+H43)+0.5*(J44+J45)/(1+H43)</f>
        <v>98.605711351715101</v>
      </c>
      <c r="S41" s="2">
        <f>0.5*(U38+U39)/(1+S43)+0.5*(U44+U45)/(1+S43)</f>
        <v>98.24305758748379</v>
      </c>
    </row>
    <row r="42" spans="1:21" x14ac:dyDescent="0.2">
      <c r="H42" s="3">
        <v>1.4</v>
      </c>
      <c r="J42" s="5"/>
      <c r="K42" s="5"/>
      <c r="S42" s="3">
        <v>1.4</v>
      </c>
      <c r="U42" s="5"/>
    </row>
    <row r="43" spans="1:21" x14ac:dyDescent="0.2">
      <c r="H43" s="58">
        <f>H15</f>
        <v>2.8337999999999999E-2</v>
      </c>
      <c r="S43" s="58">
        <f>S15</f>
        <v>3.2134000000000003E-2</v>
      </c>
    </row>
    <row r="44" spans="1:21" x14ac:dyDescent="0.2">
      <c r="F44" s="2">
        <f>0.5*(H41+H42)/(1+F46)+0.5*(H48+H47)/(1+F46)</f>
        <v>98.599071110090932</v>
      </c>
      <c r="J44" s="2">
        <v>100</v>
      </c>
      <c r="K44" s="56"/>
      <c r="Q44" s="2">
        <f>0.5*(S41+S42)/(1+Q46)+0.5*(S48+S47)/(1+Q46)</f>
        <v>98.245050489468781</v>
      </c>
      <c r="U44" s="2">
        <v>100</v>
      </c>
    </row>
    <row r="45" spans="1:21" x14ac:dyDescent="0.2">
      <c r="F45" s="3">
        <v>1.4</v>
      </c>
      <c r="J45" s="3">
        <v>1.4</v>
      </c>
      <c r="Q45" s="3">
        <v>1.4</v>
      </c>
      <c r="U45" s="3">
        <v>1.4</v>
      </c>
    </row>
    <row r="46" spans="1:21" x14ac:dyDescent="0.2">
      <c r="F46" s="58">
        <f>F16</f>
        <v>1.7863E-2</v>
      </c>
      <c r="J46" s="4" t="s">
        <v>0</v>
      </c>
      <c r="K46" s="57"/>
      <c r="Q46" s="58">
        <f>Q16</f>
        <v>1.9415000000000002E-2</v>
      </c>
      <c r="U46" s="4" t="s">
        <v>0</v>
      </c>
    </row>
    <row r="47" spans="1:21" x14ac:dyDescent="0.2">
      <c r="D47" s="2">
        <f>0.5*(F44+F45)/(1+D49)+0.5*(F51+F50)/(1+D49)</f>
        <v>98.935717090579089</v>
      </c>
      <c r="H47" s="2">
        <f>0.5*(J44+J45)/(1+H49)+0.5*(J50+J51)/(1+H49)</f>
        <v>99.314981282945851</v>
      </c>
      <c r="O47" s="2">
        <f>0.5*(Q44+Q45)/(1+O49)+0.5*(Q51+Q50)/(1+O49)</f>
        <v>98.719281095793264</v>
      </c>
      <c r="S47" s="2">
        <f>0.5*(U44+U45)/(1+S49)+0.5*(U50+U51)/(1+S49)</f>
        <v>99.261898701959808</v>
      </c>
    </row>
    <row r="48" spans="1:21" x14ac:dyDescent="0.2">
      <c r="D48" s="3">
        <v>1.4</v>
      </c>
      <c r="F48" s="7"/>
      <c r="H48" s="3">
        <v>1.4</v>
      </c>
      <c r="J48" s="5"/>
      <c r="K48" s="5"/>
      <c r="O48" s="3">
        <v>1.4</v>
      </c>
      <c r="Q48" s="7"/>
      <c r="S48" s="3">
        <v>1.4</v>
      </c>
      <c r="U48" s="5"/>
    </row>
    <row r="49" spans="2:21" x14ac:dyDescent="0.2">
      <c r="D49" s="58">
        <f>D17</f>
        <v>1.6121E-2</v>
      </c>
      <c r="H49" s="58">
        <f>H17</f>
        <v>2.0993999999999999E-2</v>
      </c>
      <c r="J49" s="5"/>
      <c r="K49" s="5"/>
      <c r="O49" s="58">
        <f>O17</f>
        <v>1.6806000000000001E-2</v>
      </c>
      <c r="S49" s="58">
        <f>S17</f>
        <v>2.154E-2</v>
      </c>
      <c r="U49" s="5"/>
    </row>
    <row r="50" spans="2:21" x14ac:dyDescent="0.2">
      <c r="B50" s="2">
        <f>0.5*(D47+D48)/(1+B52)+0.5*(D54+D53)/(1+B52)</f>
        <v>100.00001819964962</v>
      </c>
      <c r="F50" s="2">
        <f>0.5*(H47+H48)/(1+F52)+0.5*(H54+H53)/(1+F52)</f>
        <v>99.662248461501719</v>
      </c>
      <c r="H50" s="8"/>
      <c r="J50" s="2">
        <v>100</v>
      </c>
      <c r="K50" s="56"/>
      <c r="M50" s="2">
        <f>0.5*(O47+O48)/(1+M52)+0.5*(O54+O53)/(1+M52)</f>
        <v>100.00003915059207</v>
      </c>
      <c r="Q50" s="2">
        <f>0.5*(S47+S48)/(1+Q52)+0.5*(S54+S53)/(1+Q52)</f>
        <v>99.711664178309576</v>
      </c>
      <c r="S50" s="8"/>
      <c r="U50" s="2">
        <v>100</v>
      </c>
    </row>
    <row r="51" spans="2:21" x14ac:dyDescent="0.2">
      <c r="B51" s="3">
        <v>1.4</v>
      </c>
      <c r="F51" s="3">
        <v>1.4</v>
      </c>
      <c r="J51" s="3">
        <v>1.4</v>
      </c>
      <c r="M51" s="3">
        <v>1.4</v>
      </c>
      <c r="Q51" s="3">
        <v>1.4</v>
      </c>
      <c r="U51" s="3">
        <v>1.4</v>
      </c>
    </row>
    <row r="52" spans="2:21" x14ac:dyDescent="0.2">
      <c r="B52" s="58">
        <v>0.01</v>
      </c>
      <c r="F52" s="58">
        <f>F18</f>
        <v>1.3233E-2</v>
      </c>
      <c r="J52" s="4" t="s">
        <v>0</v>
      </c>
      <c r="K52" s="57"/>
      <c r="M52" s="58">
        <v>0.01</v>
      </c>
      <c r="Q52" s="58">
        <f>Q18</f>
        <v>1.3014E-2</v>
      </c>
      <c r="U52" s="4" t="s">
        <v>0</v>
      </c>
    </row>
    <row r="53" spans="2:21" x14ac:dyDescent="0.2">
      <c r="D53" s="2">
        <f>0.5*(F50+F51)/(1+D55)+0.5*(F57+F56)/(1+D55)</f>
        <v>100.2643196727131</v>
      </c>
      <c r="H53" s="2">
        <f>0.5*(J50+J51)/(1+H55)+0.5*(J56+J57)/(1+H55)</f>
        <v>99.847176707839679</v>
      </c>
      <c r="J53" s="5"/>
      <c r="K53" s="5"/>
      <c r="O53" s="2">
        <f>0.5*(Q50+Q51)/(1+O55)+0.5*(Q57+Q56)/(1+O55)</f>
        <v>100.48079798840273</v>
      </c>
      <c r="S53" s="2">
        <f>0.5*(U50+U51)/(1+S55)+0.5*(U56+U57)/(1+S55)</f>
        <v>99.956724849892396</v>
      </c>
      <c r="U53" s="5"/>
    </row>
    <row r="54" spans="2:21" x14ac:dyDescent="0.2">
      <c r="D54" s="3">
        <v>1.4</v>
      </c>
      <c r="F54" s="8"/>
      <c r="H54" s="3">
        <v>1.4</v>
      </c>
      <c r="J54" s="5"/>
      <c r="K54" s="5"/>
      <c r="O54" s="3">
        <v>1.4</v>
      </c>
      <c r="Q54" s="8"/>
      <c r="S54" s="3">
        <v>1.4</v>
      </c>
      <c r="U54" s="5"/>
    </row>
    <row r="55" spans="2:21" x14ac:dyDescent="0.2">
      <c r="D55" s="58">
        <f>D19</f>
        <v>1.1943E-2</v>
      </c>
      <c r="H55" s="58">
        <f>H19</f>
        <v>1.5552E-2</v>
      </c>
      <c r="O55" s="58">
        <f>O19</f>
        <v>1.1265000000000001E-2</v>
      </c>
      <c r="S55" s="58">
        <f>S19</f>
        <v>1.4439E-2</v>
      </c>
    </row>
    <row r="56" spans="2:21" x14ac:dyDescent="0.2">
      <c r="F56" s="2">
        <f>0.5*(H53+H54)/(1+F58)+0.5*(H60+H59)/(1+F58)</f>
        <v>100.4613044236269</v>
      </c>
      <c r="J56" s="2">
        <v>100</v>
      </c>
      <c r="K56" s="56"/>
      <c r="Q56" s="2">
        <f>0.5*(S53+S54)/(1+Q58)+0.5*(S60+S59)/(1+Q58)</f>
        <v>100.7137641771746</v>
      </c>
      <c r="U56" s="2">
        <v>100</v>
      </c>
    </row>
    <row r="57" spans="2:21" x14ac:dyDescent="0.2">
      <c r="F57" s="3">
        <v>1.4</v>
      </c>
      <c r="J57" s="3">
        <v>1.4</v>
      </c>
      <c r="Q57" s="3">
        <v>1.4</v>
      </c>
      <c r="U57" s="3">
        <v>1.4</v>
      </c>
    </row>
    <row r="58" spans="2:21" x14ac:dyDescent="0.2">
      <c r="F58" s="58">
        <f>F20</f>
        <v>9.8029999999999992E-3</v>
      </c>
      <c r="J58" s="4" t="s">
        <v>0</v>
      </c>
      <c r="K58" s="57"/>
      <c r="Q58" s="58">
        <f>Q20</f>
        <v>8.7240000000000009E-3</v>
      </c>
      <c r="U58" s="4" t="s">
        <v>0</v>
      </c>
    </row>
    <row r="59" spans="2:21" x14ac:dyDescent="0.2">
      <c r="H59" s="2">
        <f>0.5*(J56+J57)/(1+H61)+0.5*(J62+J63)/(1+H61)</f>
        <v>100.24507647394371</v>
      </c>
      <c r="J59" s="5"/>
      <c r="K59" s="5"/>
      <c r="S59" s="2">
        <f>0.5*(U56+U57)/(1+S61)+0.5*(U62+U63)/(1+S61)</f>
        <v>100.4280572618201</v>
      </c>
      <c r="U59" s="5"/>
    </row>
    <row r="60" spans="2:21" x14ac:dyDescent="0.2">
      <c r="H60" s="3">
        <v>1.4</v>
      </c>
      <c r="S60" s="3">
        <v>1.4</v>
      </c>
    </row>
    <row r="61" spans="2:21" x14ac:dyDescent="0.2">
      <c r="H61" s="58">
        <f>H21</f>
        <v>1.1521E-2</v>
      </c>
      <c r="S61" s="58">
        <f>S21</f>
        <v>9.6780000000000008E-3</v>
      </c>
    </row>
    <row r="62" spans="2:21" x14ac:dyDescent="0.2">
      <c r="J62" s="2">
        <v>100</v>
      </c>
      <c r="K62" s="56"/>
      <c r="U62" s="2">
        <v>100</v>
      </c>
    </row>
    <row r="63" spans="2:21" x14ac:dyDescent="0.2">
      <c r="J63" s="3">
        <v>1.4</v>
      </c>
      <c r="U63" s="3">
        <v>1.4</v>
      </c>
    </row>
    <row r="64" spans="2:21" x14ac:dyDescent="0.2">
      <c r="J64" s="4" t="s">
        <v>0</v>
      </c>
      <c r="U64" s="4" t="s">
        <v>0</v>
      </c>
    </row>
    <row r="67" spans="1:11" x14ac:dyDescent="0.2">
      <c r="K67" s="57"/>
    </row>
    <row r="68" spans="1:11" ht="15.75" x14ac:dyDescent="0.25">
      <c r="A68" s="1" t="s">
        <v>97</v>
      </c>
    </row>
    <row r="72" spans="1:11" x14ac:dyDescent="0.2">
      <c r="A72" s="9" t="s">
        <v>1</v>
      </c>
      <c r="B72" s="9"/>
      <c r="C72" s="9" t="s">
        <v>2</v>
      </c>
      <c r="D72" s="9"/>
      <c r="E72" s="9" t="s">
        <v>3</v>
      </c>
      <c r="F72" s="9"/>
      <c r="G72" s="9" t="s">
        <v>4</v>
      </c>
    </row>
    <row r="74" spans="1:11" x14ac:dyDescent="0.2">
      <c r="G74" s="2">
        <v>100</v>
      </c>
    </row>
    <row r="75" spans="1:11" x14ac:dyDescent="0.2">
      <c r="E75" s="74"/>
      <c r="G75" s="73">
        <v>7</v>
      </c>
    </row>
    <row r="76" spans="1:11" x14ac:dyDescent="0.2">
      <c r="G76" s="4" t="s">
        <v>0</v>
      </c>
    </row>
    <row r="77" spans="1:11" x14ac:dyDescent="0.2">
      <c r="C77" s="74"/>
      <c r="E77" s="2">
        <f>0.5*(G74+G75)/(1+E79)+0.5*(G81+G80)/(1+E79)</f>
        <v>94.009734839832021</v>
      </c>
    </row>
    <row r="78" spans="1:11" x14ac:dyDescent="0.2">
      <c r="E78" s="73">
        <v>7</v>
      </c>
    </row>
    <row r="79" spans="1:11" x14ac:dyDescent="0.2">
      <c r="E79" s="6">
        <v>0.13818</v>
      </c>
    </row>
    <row r="80" spans="1:11" x14ac:dyDescent="0.2">
      <c r="C80" s="2">
        <f>0.5*(E77+E78)/(1+C82)+0.5*(E84+E83)/(1+C82)</f>
        <v>94.512535130095898</v>
      </c>
      <c r="G80" s="2">
        <v>100</v>
      </c>
    </row>
    <row r="81" spans="1:7" x14ac:dyDescent="0.2">
      <c r="C81" s="73">
        <v>7</v>
      </c>
      <c r="E81" s="74"/>
      <c r="G81" s="73">
        <v>7</v>
      </c>
    </row>
    <row r="82" spans="1:7" x14ac:dyDescent="0.2">
      <c r="C82" s="6">
        <v>8.9480000000000004E-2</v>
      </c>
      <c r="G82" s="4" t="s">
        <v>0</v>
      </c>
    </row>
    <row r="83" spans="1:7" x14ac:dyDescent="0.2">
      <c r="A83" s="2">
        <f>0.5*(C80+C81)/(1+A85)+0.5*(C87+C86)/(1+A85)</f>
        <v>99.444032719752656</v>
      </c>
      <c r="E83" s="2">
        <f>0.5*(G80+G81)/(1+E85)+0.5*(G87+G86)/(1+E85)</f>
        <v>97.929298707241742</v>
      </c>
      <c r="G83" s="8"/>
    </row>
    <row r="84" spans="1:7" x14ac:dyDescent="0.2">
      <c r="A84" s="3">
        <v>7</v>
      </c>
      <c r="E84" s="73">
        <v>7</v>
      </c>
    </row>
    <row r="85" spans="1:7" x14ac:dyDescent="0.2">
      <c r="A85" s="6">
        <v>0.05</v>
      </c>
      <c r="E85" s="6">
        <v>9.2624999999999999E-2</v>
      </c>
    </row>
    <row r="86" spans="1:7" x14ac:dyDescent="0.2">
      <c r="C86" s="2">
        <f>0.5*(E83+E84)/(1+C88)+0.5*(E90+E89)/(1+C88)</f>
        <v>100.31993358138469</v>
      </c>
      <c r="G86" s="2">
        <v>100</v>
      </c>
    </row>
    <row r="87" spans="1:7" x14ac:dyDescent="0.2">
      <c r="C87" s="73">
        <v>7</v>
      </c>
      <c r="E87" s="54"/>
      <c r="G87" s="73">
        <v>7</v>
      </c>
    </row>
    <row r="88" spans="1:7" x14ac:dyDescent="0.2">
      <c r="C88" s="6">
        <v>5.9979999999999999E-2</v>
      </c>
      <c r="G88" s="4" t="s">
        <v>0</v>
      </c>
    </row>
    <row r="89" spans="1:7" x14ac:dyDescent="0.2">
      <c r="E89" s="2">
        <f>0.5*(G86+G87)/(1+E91)+0.5*(G93+G92)/(1+E91)</f>
        <v>100.74494768795053</v>
      </c>
    </row>
    <row r="90" spans="1:7" x14ac:dyDescent="0.2">
      <c r="E90" s="73">
        <v>7</v>
      </c>
    </row>
    <row r="91" spans="1:7" x14ac:dyDescent="0.2">
      <c r="E91" s="6">
        <v>6.2087999999999997E-2</v>
      </c>
    </row>
    <row r="92" spans="1:7" x14ac:dyDescent="0.2">
      <c r="G92" s="2">
        <v>100</v>
      </c>
    </row>
    <row r="93" spans="1:7" x14ac:dyDescent="0.2">
      <c r="G93" s="73">
        <v>7</v>
      </c>
    </row>
    <row r="94" spans="1:7" x14ac:dyDescent="0.2">
      <c r="G94" s="4" t="s">
        <v>0</v>
      </c>
    </row>
    <row r="95" spans="1:7" x14ac:dyDescent="0.2">
      <c r="A95" s="78">
        <v>0.2</v>
      </c>
      <c r="B95" s="75" t="s">
        <v>99</v>
      </c>
      <c r="C95" s="75" t="s">
        <v>100</v>
      </c>
      <c r="D95" s="75"/>
    </row>
    <row r="97" spans="1:7" ht="19.5" x14ac:dyDescent="0.35">
      <c r="A97" s="76" t="s">
        <v>91</v>
      </c>
      <c r="C97" s="75"/>
    </row>
    <row r="99" spans="1:7" x14ac:dyDescent="0.2">
      <c r="A99" s="79" t="s">
        <v>84</v>
      </c>
      <c r="B99" s="75"/>
      <c r="C99" s="80">
        <f>C82</f>
        <v>8.9480000000000004E-2</v>
      </c>
      <c r="D99" s="75"/>
      <c r="E99" s="80">
        <f>E79</f>
        <v>0.13818</v>
      </c>
      <c r="G99" s="7"/>
    </row>
    <row r="100" spans="1:7" x14ac:dyDescent="0.2">
      <c r="A100" s="79"/>
      <c r="B100" s="75"/>
      <c r="C100" s="74">
        <f>(C88)*EXP(2*$A$95)</f>
        <v>8.9479645364523394E-2</v>
      </c>
      <c r="D100" s="75"/>
      <c r="E100" s="74">
        <f>(E85)*EXP(2*$A$95)</f>
        <v>0.13818026261902266</v>
      </c>
      <c r="G100" s="54"/>
    </row>
    <row r="101" spans="1:7" x14ac:dyDescent="0.2">
      <c r="A101" s="79"/>
      <c r="B101" s="75"/>
      <c r="C101" s="75"/>
      <c r="D101" s="75"/>
      <c r="E101" s="80">
        <f>E85</f>
        <v>9.2624999999999999E-2</v>
      </c>
      <c r="G101" s="7"/>
    </row>
    <row r="102" spans="1:7" x14ac:dyDescent="0.2">
      <c r="A102" s="79"/>
      <c r="B102" s="75"/>
      <c r="C102" s="75"/>
      <c r="D102" s="75"/>
      <c r="E102" s="74">
        <f>(E91)*EXP(2*$A$95)</f>
        <v>9.2624411827151185E-2</v>
      </c>
      <c r="G102" s="54"/>
    </row>
    <row r="103" spans="1:7" x14ac:dyDescent="0.2">
      <c r="A103" s="55"/>
      <c r="G103" s="7"/>
    </row>
    <row r="104" spans="1:7" x14ac:dyDescent="0.2">
      <c r="A104" s="55"/>
      <c r="G104" s="54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93B0-B6E8-43E4-A487-6FE4E8D6598E}">
  <dimension ref="A1:Q134"/>
  <sheetViews>
    <sheetView topLeftCell="A41" workbookViewId="0">
      <selection activeCell="O23" sqref="O23"/>
    </sheetView>
  </sheetViews>
  <sheetFormatPr defaultRowHeight="12.75" x14ac:dyDescent="0.2"/>
  <cols>
    <col min="5" max="5" width="10.28515625" bestFit="1" customWidth="1"/>
    <col min="18" max="18" width="9.140625" customWidth="1"/>
    <col min="19" max="19" width="10.140625" customWidth="1"/>
  </cols>
  <sheetData>
    <row r="1" spans="1:11" ht="15.75" x14ac:dyDescent="0.25">
      <c r="A1" s="1" t="s">
        <v>92</v>
      </c>
    </row>
    <row r="2" spans="1:11" x14ac:dyDescent="0.2">
      <c r="A2" s="77" t="s">
        <v>93</v>
      </c>
    </row>
    <row r="4" spans="1:11" x14ac:dyDescent="0.2">
      <c r="E4" s="54"/>
      <c r="G4" s="54"/>
      <c r="I4" s="54"/>
      <c r="K4" s="2">
        <v>100</v>
      </c>
    </row>
    <row r="5" spans="1:11" x14ac:dyDescent="0.2">
      <c r="K5" s="3">
        <v>6.5</v>
      </c>
    </row>
    <row r="6" spans="1:11" x14ac:dyDescent="0.2">
      <c r="K6" s="4" t="s">
        <v>0</v>
      </c>
    </row>
    <row r="7" spans="1:11" x14ac:dyDescent="0.2">
      <c r="I7" s="2">
        <f>0.5*(K4+K5)/(1+I9)+0.5*(K10+K11)/(1+I9)</f>
        <v>97.528633582634228</v>
      </c>
    </row>
    <row r="8" spans="1:11" x14ac:dyDescent="0.2">
      <c r="I8" s="3">
        <v>6.5</v>
      </c>
      <c r="K8" s="5"/>
    </row>
    <row r="9" spans="1:11" x14ac:dyDescent="0.2">
      <c r="I9" s="6">
        <v>9.1986999999999999E-2</v>
      </c>
    </row>
    <row r="10" spans="1:11" x14ac:dyDescent="0.2">
      <c r="G10" s="2">
        <f>0.5*(I7+I8)/(1+G12)+0.5*(I14+I13)/(1+G12)</f>
        <v>97.924895353393765</v>
      </c>
      <c r="K10" s="2">
        <v>100</v>
      </c>
    </row>
    <row r="11" spans="1:11" x14ac:dyDescent="0.2">
      <c r="G11" s="3">
        <v>6.5</v>
      </c>
      <c r="K11" s="3">
        <v>6.5</v>
      </c>
    </row>
    <row r="12" spans="1:11" x14ac:dyDescent="0.2">
      <c r="G12" s="6">
        <v>7.0053000000000004E-2</v>
      </c>
      <c r="K12" s="4" t="s">
        <v>0</v>
      </c>
    </row>
    <row r="13" spans="1:11" x14ac:dyDescent="0.2">
      <c r="E13" s="2">
        <f>0.5*(G10+G11)/(1+E15)+0.5*(G17+G16)/(1+E15)</f>
        <v>100.23025456197678</v>
      </c>
      <c r="I13" s="2">
        <f>0.5*(K10+K11)/(1+I15)+0.5*(K16+K17)/(1+I15)</f>
        <v>99.041022512535889</v>
      </c>
    </row>
    <row r="14" spans="1:11" x14ac:dyDescent="0.2">
      <c r="E14" s="3">
        <v>6.5</v>
      </c>
      <c r="G14" s="7"/>
      <c r="I14" s="3">
        <v>6.5</v>
      </c>
      <c r="K14" s="5"/>
    </row>
    <row r="15" spans="1:11" x14ac:dyDescent="0.2">
      <c r="E15" s="6">
        <v>5.4288999999999997E-2</v>
      </c>
      <c r="I15" s="6">
        <v>7.5312000000000004E-2</v>
      </c>
      <c r="K15" s="5"/>
    </row>
    <row r="16" spans="1:11" x14ac:dyDescent="0.2">
      <c r="C16" s="2">
        <f>0.5*(E13+E14)/(1+C18)+0.5*(E20+E19)/(1+C18)</f>
        <v>104.64306207623356</v>
      </c>
      <c r="G16" s="2">
        <f>0.5*(I13+I14)/(1+G18)+0.5*(I20+I19)/(1+G18)</f>
        <v>100.41841435039012</v>
      </c>
      <c r="I16" s="8"/>
      <c r="K16" s="2">
        <v>100</v>
      </c>
    </row>
    <row r="17" spans="3:11" x14ac:dyDescent="0.2">
      <c r="C17" s="3">
        <v>6.5</v>
      </c>
      <c r="G17" s="3">
        <v>6.5</v>
      </c>
      <c r="K17" s="3">
        <v>6.5</v>
      </c>
    </row>
    <row r="18" spans="3:11" x14ac:dyDescent="0.2">
      <c r="C18" s="6">
        <v>3.5000000000000003E-2</v>
      </c>
      <c r="G18" s="6">
        <v>5.7354000000000002E-2</v>
      </c>
      <c r="K18" s="4" t="s">
        <v>0</v>
      </c>
    </row>
    <row r="19" spans="3:11" x14ac:dyDescent="0.2">
      <c r="E19" s="2">
        <f>0.5*(G16+G17)/(1+E21)+0.5*(G23+G22)/(1+E21)</f>
        <v>103.38088393582667</v>
      </c>
      <c r="I19" s="2">
        <f>0.5*(K16+K17)/(1+I21)+0.5*(K22+K23)/(1+I21)</f>
        <v>100.31460166154889</v>
      </c>
      <c r="K19" s="5"/>
    </row>
    <row r="20" spans="3:11" x14ac:dyDescent="0.2">
      <c r="E20" s="3">
        <v>6.5</v>
      </c>
      <c r="G20" s="8"/>
      <c r="I20" s="3">
        <v>6.5</v>
      </c>
      <c r="K20" s="5"/>
    </row>
    <row r="21" spans="3:11" x14ac:dyDescent="0.2">
      <c r="E21" s="6">
        <v>4.4448000000000001E-2</v>
      </c>
      <c r="I21" s="6">
        <v>6.166E-2</v>
      </c>
    </row>
    <row r="22" spans="3:11" x14ac:dyDescent="0.2">
      <c r="G22" s="2">
        <f>0.5*(I19+I20)/(1+G24)+0.5*(I26+I25)/(1+G24)</f>
        <v>102.53350057962248</v>
      </c>
      <c r="K22" s="2">
        <v>100</v>
      </c>
    </row>
    <row r="23" spans="3:11" x14ac:dyDescent="0.2">
      <c r="G23" s="3">
        <v>6.5</v>
      </c>
      <c r="K23" s="3">
        <v>6.5</v>
      </c>
    </row>
    <row r="24" spans="3:11" x14ac:dyDescent="0.2">
      <c r="G24" s="6">
        <v>4.6958E-2</v>
      </c>
      <c r="K24" s="4" t="s">
        <v>0</v>
      </c>
    </row>
    <row r="25" spans="3:11" x14ac:dyDescent="0.2">
      <c r="I25" s="2">
        <f>0.5*(K22+K23)/(1+I27)+0.5*(K28+K29)/(1+I27)</f>
        <v>101.38193573813189</v>
      </c>
      <c r="K25" s="5"/>
    </row>
    <row r="26" spans="3:11" x14ac:dyDescent="0.2">
      <c r="I26" s="3">
        <v>6.5</v>
      </c>
    </row>
    <row r="27" spans="3:11" x14ac:dyDescent="0.2">
      <c r="I27" s="6">
        <v>5.0483E-2</v>
      </c>
    </row>
    <row r="28" spans="3:11" x14ac:dyDescent="0.2">
      <c r="K28" s="2">
        <v>100</v>
      </c>
    </row>
    <row r="29" spans="3:11" x14ac:dyDescent="0.2">
      <c r="K29" s="3">
        <v>6.5</v>
      </c>
    </row>
    <row r="30" spans="3:11" x14ac:dyDescent="0.2">
      <c r="K30" s="4" t="s">
        <v>0</v>
      </c>
    </row>
    <row r="32" spans="3:11" x14ac:dyDescent="0.2">
      <c r="C32" s="9" t="s">
        <v>1</v>
      </c>
      <c r="D32" s="9"/>
      <c r="E32" s="9" t="s">
        <v>2</v>
      </c>
      <c r="F32" s="9"/>
      <c r="G32" s="9" t="s">
        <v>3</v>
      </c>
      <c r="H32" s="9"/>
      <c r="I32" s="9" t="s">
        <v>4</v>
      </c>
      <c r="J32" s="9"/>
      <c r="K32" s="9" t="s">
        <v>5</v>
      </c>
    </row>
    <row r="33" spans="1:11" ht="23.25" customHeight="1" x14ac:dyDescent="0.2"/>
    <row r="35" spans="1:11" ht="15.75" x14ac:dyDescent="0.25">
      <c r="A35" s="1" t="s">
        <v>92</v>
      </c>
    </row>
    <row r="36" spans="1:11" x14ac:dyDescent="0.2">
      <c r="A36" s="77" t="s">
        <v>94</v>
      </c>
    </row>
    <row r="38" spans="1:11" x14ac:dyDescent="0.2">
      <c r="K38" s="2">
        <v>100</v>
      </c>
    </row>
    <row r="39" spans="1:11" x14ac:dyDescent="0.2">
      <c r="K39" s="3">
        <v>6.5</v>
      </c>
    </row>
    <row r="40" spans="1:11" x14ac:dyDescent="0.2">
      <c r="K40" s="4" t="s">
        <v>0</v>
      </c>
    </row>
    <row r="41" spans="1:11" x14ac:dyDescent="0.2">
      <c r="I41" s="2">
        <f>MIN(0.5*(K38+K39)/(1+I43)+0.5*(K45+K44)/(1+I43),100)</f>
        <v>97.528633582634228</v>
      </c>
    </row>
    <row r="42" spans="1:11" x14ac:dyDescent="0.2">
      <c r="I42" s="3">
        <v>6.5</v>
      </c>
      <c r="K42" s="5"/>
    </row>
    <row r="43" spans="1:11" x14ac:dyDescent="0.2">
      <c r="I43" s="6">
        <v>9.1986999999999999E-2</v>
      </c>
    </row>
    <row r="44" spans="1:11" x14ac:dyDescent="0.2">
      <c r="G44" s="2">
        <f>MIN(0.5*(I41+I42)/(1+G46)+0.5*(I48+I47)/(1+G46),100)</f>
        <v>97.924895353393765</v>
      </c>
      <c r="K44" s="2">
        <v>100</v>
      </c>
    </row>
    <row r="45" spans="1:11" x14ac:dyDescent="0.2">
      <c r="G45" s="3">
        <v>6.5</v>
      </c>
      <c r="K45" s="3">
        <v>6.5</v>
      </c>
    </row>
    <row r="46" spans="1:11" x14ac:dyDescent="0.2">
      <c r="G46" s="6">
        <v>7.0053000000000004E-2</v>
      </c>
      <c r="K46" s="4" t="s">
        <v>0</v>
      </c>
    </row>
    <row r="47" spans="1:11" x14ac:dyDescent="0.2">
      <c r="E47" s="2">
        <f>MIN(0.5*(G44+G45)/(1+E49)+0.5*(G51+G50)/(1+E49),100)</f>
        <v>100</v>
      </c>
      <c r="I47" s="2">
        <f>MIN(0.5*(K44+K45)/(1+I49)+0.5*(K51+K50)/(1+I49),100)</f>
        <v>99.041022512535889</v>
      </c>
    </row>
    <row r="48" spans="1:11" x14ac:dyDescent="0.2">
      <c r="E48" s="3">
        <v>6.5</v>
      </c>
      <c r="G48" s="7"/>
      <c r="I48" s="3">
        <v>6.5</v>
      </c>
      <c r="K48" s="5"/>
    </row>
    <row r="49" spans="3:11" x14ac:dyDescent="0.2">
      <c r="E49" s="6">
        <v>5.4288999999999997E-2</v>
      </c>
      <c r="I49" s="6">
        <v>7.5312000000000004E-2</v>
      </c>
      <c r="K49" s="5"/>
    </row>
    <row r="50" spans="3:11" x14ac:dyDescent="0.2">
      <c r="C50" s="2">
        <f>0.5*(E47+E48)/(1+C52)+0.5*(E54+E53)/(1+C52)</f>
        <v>102.89855072463769</v>
      </c>
      <c r="G50" s="2">
        <f>MIN(0.5*(I47+I48)/(1+G52)+0.5*(I54+I53)/(1+G52),100)</f>
        <v>100</v>
      </c>
      <c r="I50" s="8"/>
      <c r="K50" s="2">
        <v>100</v>
      </c>
    </row>
    <row r="51" spans="3:11" x14ac:dyDescent="0.2">
      <c r="C51" s="3">
        <v>6.5</v>
      </c>
      <c r="G51" s="3">
        <v>6.5</v>
      </c>
      <c r="K51" s="3">
        <v>6.5</v>
      </c>
    </row>
    <row r="52" spans="3:11" x14ac:dyDescent="0.2">
      <c r="C52" s="6">
        <v>3.5000000000000003E-2</v>
      </c>
      <c r="G52" s="6">
        <v>5.7354000000000002E-2</v>
      </c>
      <c r="K52" s="4" t="s">
        <v>0</v>
      </c>
    </row>
    <row r="53" spans="3:11" x14ac:dyDescent="0.2">
      <c r="E53" s="2">
        <f>MIN(0.5*(G50+G51)/(1+E55)+0.5*(G57+G56)/(1+E55),100)</f>
        <v>100</v>
      </c>
      <c r="I53" s="2">
        <f>MIN(0.5*(K50+K51)/(1+I55)+0.5*(K57+K56)/(1+I55),100)</f>
        <v>100</v>
      </c>
      <c r="K53" s="5"/>
    </row>
    <row r="54" spans="3:11" x14ac:dyDescent="0.2">
      <c r="E54" s="3">
        <v>6.5</v>
      </c>
      <c r="G54" s="8"/>
      <c r="I54" s="3">
        <v>6.5</v>
      </c>
      <c r="K54" s="5"/>
    </row>
    <row r="55" spans="3:11" x14ac:dyDescent="0.2">
      <c r="E55" s="6">
        <v>4.4448000000000001E-2</v>
      </c>
      <c r="I55" s="6">
        <v>6.166E-2</v>
      </c>
    </row>
    <row r="56" spans="3:11" x14ac:dyDescent="0.2">
      <c r="G56" s="2">
        <f>MIN(0.5*(I53+I54)/(1+G58)+0.5*(I60+I59)/(1+G58),100)</f>
        <v>100</v>
      </c>
      <c r="K56" s="2">
        <v>100</v>
      </c>
    </row>
    <row r="57" spans="3:11" x14ac:dyDescent="0.2">
      <c r="G57" s="3">
        <v>6.5</v>
      </c>
      <c r="K57" s="3">
        <v>6.5</v>
      </c>
    </row>
    <row r="58" spans="3:11" x14ac:dyDescent="0.2">
      <c r="G58" s="6">
        <v>4.6958E-2</v>
      </c>
      <c r="K58" s="4" t="s">
        <v>0</v>
      </c>
    </row>
    <row r="59" spans="3:11" x14ac:dyDescent="0.2">
      <c r="I59" s="2">
        <f>MIN(0.5*(K56+K57)/(1+I61)+0.5*(K63+K62)/(1+I61),100)</f>
        <v>100</v>
      </c>
      <c r="K59" s="5"/>
    </row>
    <row r="60" spans="3:11" x14ac:dyDescent="0.2">
      <c r="I60" s="3">
        <v>6.5</v>
      </c>
    </row>
    <row r="61" spans="3:11" x14ac:dyDescent="0.2">
      <c r="I61" s="6">
        <v>5.0483E-2</v>
      </c>
    </row>
    <row r="62" spans="3:11" x14ac:dyDescent="0.2">
      <c r="K62" s="2">
        <v>100</v>
      </c>
    </row>
    <row r="63" spans="3:11" x14ac:dyDescent="0.2">
      <c r="K63" s="3">
        <v>6.5</v>
      </c>
    </row>
    <row r="64" spans="3:11" x14ac:dyDescent="0.2">
      <c r="K64" s="4" t="s">
        <v>0</v>
      </c>
    </row>
    <row r="66" spans="1:11" x14ac:dyDescent="0.2">
      <c r="C66" s="9" t="s">
        <v>1</v>
      </c>
      <c r="D66" s="9"/>
      <c r="E66" s="9" t="s">
        <v>2</v>
      </c>
      <c r="F66" s="9"/>
      <c r="G66" s="9" t="s">
        <v>3</v>
      </c>
      <c r="H66" s="9"/>
      <c r="I66" s="9" t="s">
        <v>4</v>
      </c>
      <c r="J66" s="9"/>
      <c r="K66" s="9" t="s">
        <v>5</v>
      </c>
    </row>
    <row r="69" spans="1:11" ht="15.75" x14ac:dyDescent="0.25">
      <c r="A69" s="1" t="s">
        <v>95</v>
      </c>
    </row>
    <row r="71" spans="1:11" x14ac:dyDescent="0.2">
      <c r="A71" t="s">
        <v>6</v>
      </c>
      <c r="D71" s="9">
        <v>102.218</v>
      </c>
    </row>
    <row r="72" spans="1:11" x14ac:dyDescent="0.2">
      <c r="A72" t="s">
        <v>7</v>
      </c>
      <c r="D72" s="10">
        <v>3.5000000000000001E-3</v>
      </c>
      <c r="K72" s="2">
        <v>100</v>
      </c>
    </row>
    <row r="73" spans="1:11" x14ac:dyDescent="0.2">
      <c r="K73" s="3">
        <v>6.5</v>
      </c>
    </row>
    <row r="74" spans="1:11" x14ac:dyDescent="0.2">
      <c r="K74" s="4" t="s">
        <v>0</v>
      </c>
    </row>
    <row r="75" spans="1:11" x14ac:dyDescent="0.2">
      <c r="I75" s="2">
        <f>MIN(0.5*(K72+K73)/(1+I77)+0.5*(K79+K78)/(1+I77),100)</f>
        <v>97.217036806461408</v>
      </c>
    </row>
    <row r="76" spans="1:11" x14ac:dyDescent="0.2">
      <c r="I76" s="3">
        <v>6.5</v>
      </c>
      <c r="K76" s="5"/>
    </row>
    <row r="77" spans="1:11" x14ac:dyDescent="0.2">
      <c r="I77" s="6">
        <f>9.1987%+OAS</f>
        <v>9.5487000000000002E-2</v>
      </c>
    </row>
    <row r="78" spans="1:11" x14ac:dyDescent="0.2">
      <c r="G78" s="2">
        <f>MIN(0.5*(I75+I76)/(1+G80)+0.5*(I82+I81)/(1+G80),100)</f>
        <v>97.310863828164571</v>
      </c>
      <c r="K78" s="2">
        <v>100</v>
      </c>
    </row>
    <row r="79" spans="1:11" x14ac:dyDescent="0.2">
      <c r="G79" s="3">
        <v>6.5</v>
      </c>
      <c r="K79" s="3">
        <v>6.5</v>
      </c>
    </row>
    <row r="80" spans="1:11" x14ac:dyDescent="0.2">
      <c r="G80" s="6">
        <f>7.0053%+OAS</f>
        <v>7.3553000000000007E-2</v>
      </c>
      <c r="K80" s="4" t="s">
        <v>0</v>
      </c>
    </row>
    <row r="81" spans="3:11" x14ac:dyDescent="0.2">
      <c r="E81" s="2">
        <f>MIN(0.5*(G78+G79)/(1+E83)+0.5*(G85+G84)/(1+E83),100)</f>
        <v>99.306749095674476</v>
      </c>
      <c r="I81" s="2">
        <f>MIN(0.5*(K78+K79)/(1+I83)+0.5*(K85+K84)/(1+I83),100)</f>
        <v>98.719702784173691</v>
      </c>
    </row>
    <row r="82" spans="3:11" x14ac:dyDescent="0.2">
      <c r="E82" s="3">
        <v>6.5</v>
      </c>
      <c r="G82" s="7"/>
      <c r="I82" s="3">
        <v>6.5</v>
      </c>
      <c r="K82" s="5"/>
    </row>
    <row r="83" spans="3:11" x14ac:dyDescent="0.2">
      <c r="E83" s="6">
        <f>5.4289%+OAS</f>
        <v>5.7789E-2</v>
      </c>
      <c r="I83" s="6">
        <f>7.5312%+OAS</f>
        <v>7.8812000000000007E-2</v>
      </c>
      <c r="K83" s="5"/>
    </row>
    <row r="84" spans="3:11" x14ac:dyDescent="0.2">
      <c r="C84" s="2">
        <f>0.5*(E81+E82)/(1+C86)+0.5*(E88+E87)/(1+C86)</f>
        <v>102.21798223190875</v>
      </c>
      <c r="E84" s="7"/>
      <c r="G84" s="2">
        <f>MIN(0.5*(I81+I82)/(1+G86)+0.5*(I88+I87)/(1+G86),100)</f>
        <v>99.780309810164269</v>
      </c>
      <c r="I84" s="8"/>
      <c r="K84" s="2">
        <v>100</v>
      </c>
    </row>
    <row r="85" spans="3:11" x14ac:dyDescent="0.2">
      <c r="C85" s="3">
        <v>6.5</v>
      </c>
      <c r="G85" s="3">
        <v>6.5</v>
      </c>
      <c r="K85" s="3">
        <v>6.5</v>
      </c>
    </row>
    <row r="86" spans="3:11" x14ac:dyDescent="0.2">
      <c r="C86" s="6">
        <f>3.5%+OAS</f>
        <v>3.8500000000000006E-2</v>
      </c>
      <c r="G86" s="6">
        <f>5.7354%+OAS</f>
        <v>6.0854000000000005E-2</v>
      </c>
      <c r="K86" s="4" t="s">
        <v>0</v>
      </c>
    </row>
    <row r="87" spans="3:11" x14ac:dyDescent="0.2">
      <c r="E87" s="2">
        <f>MIN(0.5*(G84+G85)/(1+E89)+0.5*(G91+G90)/(1+E89),100)</f>
        <v>100</v>
      </c>
      <c r="I87" s="2">
        <f>MIN(0.5*(K84+K85)/(1+I89)+0.5*(K91+K90)/(1+I89),100)</f>
        <v>99.98497878253032</v>
      </c>
      <c r="K87" s="5"/>
    </row>
    <row r="88" spans="3:11" x14ac:dyDescent="0.2">
      <c r="E88" s="3">
        <v>6.5</v>
      </c>
      <c r="G88" s="8"/>
      <c r="I88" s="3">
        <v>6.5</v>
      </c>
      <c r="K88" s="5"/>
    </row>
    <row r="89" spans="3:11" x14ac:dyDescent="0.2">
      <c r="E89" s="6">
        <f>4.4448%+OAS</f>
        <v>4.7948000000000005E-2</v>
      </c>
      <c r="I89" s="6">
        <f>6.166%+OAS</f>
        <v>6.516000000000001E-2</v>
      </c>
    </row>
    <row r="90" spans="3:11" x14ac:dyDescent="0.2">
      <c r="G90" s="2">
        <f>MIN(0.5*(I87+I88)/(1+G92)+0.5*(I94+I93)/(1+G92),100)</f>
        <v>100</v>
      </c>
      <c r="K90" s="2">
        <v>100</v>
      </c>
    </row>
    <row r="91" spans="3:11" x14ac:dyDescent="0.2">
      <c r="G91" s="3">
        <v>6.5</v>
      </c>
      <c r="K91" s="3">
        <v>6.5</v>
      </c>
    </row>
    <row r="92" spans="3:11" x14ac:dyDescent="0.2">
      <c r="G92" s="6">
        <f>4.6958%+OAS</f>
        <v>5.0458000000000003E-2</v>
      </c>
      <c r="K92" s="4" t="s">
        <v>0</v>
      </c>
    </row>
    <row r="93" spans="3:11" x14ac:dyDescent="0.2">
      <c r="I93" s="2">
        <f>MIN(0.5*(K90+K91)/(1+I95)+0.5*(K97+K96)/(1+I95),100)</f>
        <v>100</v>
      </c>
      <c r="K93" s="5"/>
    </row>
    <row r="94" spans="3:11" x14ac:dyDescent="0.2">
      <c r="I94" s="3">
        <v>6.5</v>
      </c>
    </row>
    <row r="95" spans="3:11" x14ac:dyDescent="0.2">
      <c r="I95" s="6">
        <f>5.0483%+OAS</f>
        <v>5.3983000000000003E-2</v>
      </c>
    </row>
    <row r="96" spans="3:11" x14ac:dyDescent="0.2">
      <c r="K96" s="2">
        <v>100</v>
      </c>
    </row>
    <row r="97" spans="1:17" x14ac:dyDescent="0.2">
      <c r="K97" s="3">
        <v>6.5</v>
      </c>
    </row>
    <row r="98" spans="1:17" x14ac:dyDescent="0.2">
      <c r="K98" s="4" t="s">
        <v>0</v>
      </c>
    </row>
    <row r="100" spans="1:17" x14ac:dyDescent="0.2">
      <c r="C100" s="9" t="s">
        <v>1</v>
      </c>
      <c r="D100" s="9"/>
      <c r="E100" s="9" t="s">
        <v>2</v>
      </c>
      <c r="F100" s="9"/>
      <c r="G100" s="9" t="s">
        <v>3</v>
      </c>
      <c r="H100" s="9"/>
      <c r="I100" s="9" t="s">
        <v>4</v>
      </c>
      <c r="J100" s="9"/>
      <c r="K100" s="9" t="s">
        <v>5</v>
      </c>
    </row>
    <row r="103" spans="1:17" ht="15.75" x14ac:dyDescent="0.25">
      <c r="A103" s="1" t="s">
        <v>95</v>
      </c>
    </row>
    <row r="104" spans="1:17" x14ac:dyDescent="0.2">
      <c r="A104" t="s">
        <v>96</v>
      </c>
    </row>
    <row r="108" spans="1:17" x14ac:dyDescent="0.2">
      <c r="I108" s="2">
        <v>100</v>
      </c>
      <c r="Q108" s="2">
        <v>100</v>
      </c>
    </row>
    <row r="109" spans="1:17" x14ac:dyDescent="0.2">
      <c r="I109" s="11">
        <f>G114*100</f>
        <v>5.5258000000000003</v>
      </c>
      <c r="Q109" s="11">
        <f>MIN(O114*100,4.5)</f>
        <v>4.5</v>
      </c>
    </row>
    <row r="110" spans="1:17" x14ac:dyDescent="0.2">
      <c r="I110" s="12" t="s">
        <v>0</v>
      </c>
      <c r="Q110" s="12" t="s">
        <v>0</v>
      </c>
    </row>
    <row r="112" spans="1:17" x14ac:dyDescent="0.2">
      <c r="G112" s="2">
        <f>0.5*(I108+I109)/(1+G114)+0.5*(I113+I112)/(1+G114)</f>
        <v>100</v>
      </c>
      <c r="I112" s="2">
        <v>100</v>
      </c>
      <c r="O112" s="2">
        <f>0.5*(Q108+Q109)/(1+O114)+0.5*(Q113+Q112)/(1+O114)</f>
        <v>99.027915448165274</v>
      </c>
      <c r="Q112" s="2">
        <v>100</v>
      </c>
    </row>
    <row r="113" spans="3:17" x14ac:dyDescent="0.2">
      <c r="G113" s="11">
        <f>E117*100</f>
        <v>3.8694999999999999</v>
      </c>
      <c r="I113" s="11">
        <f>G114*100</f>
        <v>5.5258000000000003</v>
      </c>
      <c r="O113" s="11">
        <f>MIN(M117*100,4.5)</f>
        <v>3.8694999999999999</v>
      </c>
      <c r="Q113" s="11">
        <f>MIN(O114*100,4.5)</f>
        <v>4.5</v>
      </c>
    </row>
    <row r="114" spans="3:17" x14ac:dyDescent="0.2">
      <c r="G114" s="6">
        <v>5.5258000000000002E-2</v>
      </c>
      <c r="I114" s="12" t="s">
        <v>0</v>
      </c>
      <c r="O114" s="6">
        <v>5.5258000000000002E-2</v>
      </c>
      <c r="Q114" s="12" t="s">
        <v>0</v>
      </c>
    </row>
    <row r="115" spans="3:17" x14ac:dyDescent="0.2">
      <c r="E115" s="2">
        <f>0.5*(G112+G113)/(1+E117)+0.5*(G119+G117)/(1+E117)</f>
        <v>100.00000000000001</v>
      </c>
      <c r="M115" s="2">
        <f>0.5*(O112+O113)/(1+M117)+0.5*(O119+O117)/(1+M117)</f>
        <v>99.520919478320252</v>
      </c>
    </row>
    <row r="116" spans="3:17" x14ac:dyDescent="0.2">
      <c r="E116" s="11">
        <f>MIN(C120*100,4.5)</f>
        <v>2.5</v>
      </c>
      <c r="G116" s="7"/>
      <c r="I116" s="2">
        <v>100</v>
      </c>
      <c r="M116" s="11">
        <f>MIN(K120*100,4.5)</f>
        <v>2.5</v>
      </c>
      <c r="O116" s="7"/>
      <c r="Q116" s="2">
        <v>100</v>
      </c>
    </row>
    <row r="117" spans="3:17" x14ac:dyDescent="0.2">
      <c r="E117" s="6">
        <v>3.8695E-2</v>
      </c>
      <c r="G117" s="2">
        <f>0.5*(I116+I117)/(1+G121)+0.5*(I121+I120)/(1+G121)</f>
        <v>100</v>
      </c>
      <c r="I117" s="11">
        <f>G121*100</f>
        <v>4.5241999999999996</v>
      </c>
      <c r="M117" s="6">
        <v>3.8695E-2</v>
      </c>
      <c r="O117" s="2">
        <f>0.5*(Q116+Q117)/(1+O121)+0.5*(Q121+Q120)/(1+O121)</f>
        <v>99.976847466902399</v>
      </c>
      <c r="Q117" s="11">
        <f>MIN(O121*100,4.5)</f>
        <v>4.5</v>
      </c>
    </row>
    <row r="118" spans="3:17" x14ac:dyDescent="0.2">
      <c r="C118" s="2">
        <f>0.5*(E115+E116)/(1+C120)+0.5*(E122+E121)/(1+C120)</f>
        <v>100</v>
      </c>
      <c r="G118" s="3"/>
      <c r="I118" s="12" t="s">
        <v>0</v>
      </c>
      <c r="K118" s="2">
        <f>0.5*(M115+M116)/(1+K120)+0.5*(M122+M121)/(1+K120)</f>
        <v>99.760828632845801</v>
      </c>
      <c r="O118" s="3"/>
      <c r="Q118" s="12" t="s">
        <v>0</v>
      </c>
    </row>
    <row r="119" spans="3:17" x14ac:dyDescent="0.2">
      <c r="C119" s="13" t="s">
        <v>0</v>
      </c>
      <c r="F119" s="14" t="s">
        <v>8</v>
      </c>
      <c r="G119" s="15">
        <f>E117*100</f>
        <v>3.8694999999999999</v>
      </c>
      <c r="K119" s="13" t="s">
        <v>0</v>
      </c>
      <c r="N119" s="14" t="s">
        <v>8</v>
      </c>
      <c r="O119" s="15">
        <f>MIN(M117*100, 4.5)</f>
        <v>3.8694999999999999</v>
      </c>
    </row>
    <row r="120" spans="3:17" x14ac:dyDescent="0.2">
      <c r="C120" s="6">
        <v>2.5000000000000001E-2</v>
      </c>
      <c r="F120" s="14" t="s">
        <v>9</v>
      </c>
      <c r="G120" s="15">
        <f>E123*100</f>
        <v>3.1680999999999999</v>
      </c>
      <c r="I120" s="2">
        <v>100</v>
      </c>
      <c r="K120" s="6">
        <v>2.5000000000000001E-2</v>
      </c>
      <c r="N120" s="14" t="s">
        <v>9</v>
      </c>
      <c r="O120" s="15">
        <f>MIN(M123*100, 4.5)</f>
        <v>3.1680999999999999</v>
      </c>
      <c r="Q120" s="2">
        <v>100</v>
      </c>
    </row>
    <row r="121" spans="3:17" x14ac:dyDescent="0.2">
      <c r="E121" s="2">
        <f>0.5*(G117+G120)/(1+E123)+0.5*(G125+G124)/(1+E123)</f>
        <v>99.999999999999972</v>
      </c>
      <c r="G121" s="6">
        <v>4.5241999999999997E-2</v>
      </c>
      <c r="I121" s="11">
        <f>G121*100</f>
        <v>4.5241999999999996</v>
      </c>
      <c r="M121" s="2">
        <f>0.5*(O117+O120)/(1+M123)+0.5*(O125+O124)/(1+M123)</f>
        <v>99.988779219013608</v>
      </c>
      <c r="O121" s="6">
        <v>4.5241999999999997E-2</v>
      </c>
      <c r="Q121" s="11">
        <f>MIN(O121*100,4.5)</f>
        <v>4.5</v>
      </c>
    </row>
    <row r="122" spans="3:17" x14ac:dyDescent="0.2">
      <c r="E122" s="11">
        <f>MIN(C120*100, 4.5)</f>
        <v>2.5</v>
      </c>
      <c r="G122" s="8"/>
      <c r="I122" s="12" t="s">
        <v>0</v>
      </c>
      <c r="M122" s="11">
        <f>MIN(K120*100, 4.5)</f>
        <v>2.5</v>
      </c>
      <c r="O122" s="8"/>
      <c r="Q122" s="12" t="s">
        <v>0</v>
      </c>
    </row>
    <row r="123" spans="3:17" x14ac:dyDescent="0.2">
      <c r="E123" s="6">
        <v>3.1681000000000001E-2</v>
      </c>
      <c r="M123" s="6">
        <v>3.1681000000000001E-2</v>
      </c>
    </row>
    <row r="124" spans="3:17" x14ac:dyDescent="0.2">
      <c r="G124" s="2">
        <f>0.5*(I124+I125)/(1+G126)+0.5*(I129+I128)/(1+G126)</f>
        <v>99.999999999999986</v>
      </c>
      <c r="I124" s="2">
        <v>100</v>
      </c>
      <c r="O124" s="2">
        <f>0.5*(Q124+Q125)/(1+O126)+0.5*(Q129+Q128)/(1+O126)</f>
        <v>99.999999999999986</v>
      </c>
      <c r="Q124" s="2">
        <v>100</v>
      </c>
    </row>
    <row r="125" spans="3:17" x14ac:dyDescent="0.2">
      <c r="G125" s="11">
        <f>MIN(E123*100, 4.5)</f>
        <v>3.1680999999999999</v>
      </c>
      <c r="I125" s="11">
        <f>G126*100</f>
        <v>3.7040999999999999</v>
      </c>
      <c r="O125" s="11">
        <f>MIN(M123*100, 4.5)</f>
        <v>3.1680999999999999</v>
      </c>
      <c r="Q125" s="11">
        <f>MIN(O126*100,4.5)</f>
        <v>3.7040999999999999</v>
      </c>
    </row>
    <row r="126" spans="3:17" x14ac:dyDescent="0.2">
      <c r="G126" s="6">
        <v>3.7040999999999998E-2</v>
      </c>
      <c r="I126" s="12" t="s">
        <v>0</v>
      </c>
      <c r="O126" s="6">
        <v>3.7040999999999998E-2</v>
      </c>
      <c r="Q126" s="12" t="s">
        <v>0</v>
      </c>
    </row>
    <row r="128" spans="3:17" x14ac:dyDescent="0.2">
      <c r="C128" s="9" t="s">
        <v>10</v>
      </c>
      <c r="I128" s="2">
        <v>100</v>
      </c>
      <c r="K128" s="9" t="s">
        <v>11</v>
      </c>
      <c r="Q128" s="2">
        <v>100</v>
      </c>
    </row>
    <row r="129" spans="3:17" x14ac:dyDescent="0.2">
      <c r="I129" s="11">
        <f>G126*100</f>
        <v>3.7040999999999999</v>
      </c>
      <c r="Q129" s="11">
        <f>MIN(O126*100,4.5)</f>
        <v>3.7040999999999999</v>
      </c>
    </row>
    <row r="130" spans="3:17" x14ac:dyDescent="0.2">
      <c r="I130" s="12" t="s">
        <v>0</v>
      </c>
      <c r="Q130" s="12" t="s">
        <v>0</v>
      </c>
    </row>
    <row r="132" spans="3:17" x14ac:dyDescent="0.2">
      <c r="C132" s="9" t="s">
        <v>1</v>
      </c>
      <c r="D132" s="9"/>
      <c r="E132" s="9" t="s">
        <v>2</v>
      </c>
      <c r="F132" s="9"/>
      <c r="G132" s="9" t="s">
        <v>3</v>
      </c>
      <c r="H132" s="9"/>
      <c r="I132" s="9" t="s">
        <v>4</v>
      </c>
      <c r="K132" s="9" t="s">
        <v>1</v>
      </c>
      <c r="L132" s="9"/>
      <c r="M132" s="9" t="s">
        <v>2</v>
      </c>
      <c r="N132" s="9"/>
      <c r="O132" s="9" t="s">
        <v>3</v>
      </c>
      <c r="P132" s="9"/>
      <c r="Q132" s="9" t="s">
        <v>4</v>
      </c>
    </row>
    <row r="134" spans="3:17" x14ac:dyDescent="0.2">
      <c r="J134" s="9"/>
      <c r="K134" s="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C020-BE9A-4661-9013-0BEBF542927A}">
  <dimension ref="A1:Q45"/>
  <sheetViews>
    <sheetView tabSelected="1" workbookViewId="0">
      <selection activeCell="K52" sqref="K52"/>
    </sheetView>
  </sheetViews>
  <sheetFormatPr defaultRowHeight="12.75" x14ac:dyDescent="0.2"/>
  <cols>
    <col min="1" max="1" width="11.85546875" style="17" customWidth="1"/>
    <col min="2" max="2" width="10.140625" style="17" customWidth="1"/>
    <col min="3" max="3" width="10" style="17" customWidth="1"/>
    <col min="4" max="7" width="12.7109375" style="17" customWidth="1"/>
    <col min="8" max="8" width="13.7109375" style="17" customWidth="1"/>
    <col min="9" max="11" width="12.7109375" style="17" customWidth="1"/>
    <col min="12" max="12" width="4.7109375" customWidth="1"/>
    <col min="13" max="13" width="7.5703125" customWidth="1"/>
    <col min="16" max="16" width="9.7109375" bestFit="1" customWidth="1"/>
    <col min="17" max="17" width="10.140625" customWidth="1"/>
  </cols>
  <sheetData>
    <row r="1" spans="1:11" ht="18" x14ac:dyDescent="0.25">
      <c r="A1" s="59" t="s">
        <v>90</v>
      </c>
    </row>
    <row r="2" spans="1:11" ht="15.75" x14ac:dyDescent="0.25">
      <c r="A2" s="67" t="s">
        <v>32</v>
      </c>
    </row>
    <row r="3" spans="1:11" x14ac:dyDescent="0.2">
      <c r="A3" s="27"/>
    </row>
    <row r="4" spans="1:11" s="26" customFormat="1" ht="12.75" customHeight="1" x14ac:dyDescent="0.2">
      <c r="A4" s="24"/>
      <c r="B4" s="24"/>
      <c r="C4" s="24" t="s">
        <v>26</v>
      </c>
      <c r="D4" s="68">
        <v>0.03</v>
      </c>
      <c r="E4" s="69">
        <v>0.4</v>
      </c>
      <c r="F4" s="24"/>
      <c r="G4" s="68">
        <v>1.2500000000000001E-2</v>
      </c>
      <c r="H4" s="24"/>
      <c r="I4" s="24"/>
      <c r="J4" s="25">
        <f>D4</f>
        <v>0.03</v>
      </c>
      <c r="K4" s="24"/>
    </row>
    <row r="5" spans="1:11" s="16" customFormat="1" ht="38.25" x14ac:dyDescent="0.2">
      <c r="A5" s="23" t="s">
        <v>12</v>
      </c>
      <c r="B5" s="23" t="s">
        <v>23</v>
      </c>
      <c r="C5" s="23" t="s">
        <v>24</v>
      </c>
      <c r="D5" s="23" t="s">
        <v>25</v>
      </c>
      <c r="E5" s="23" t="s">
        <v>13</v>
      </c>
      <c r="F5" s="23" t="s">
        <v>14</v>
      </c>
      <c r="G5" s="23" t="s">
        <v>15</v>
      </c>
      <c r="H5" s="23" t="s">
        <v>16</v>
      </c>
      <c r="I5" s="23" t="s">
        <v>17</v>
      </c>
      <c r="J5" s="23" t="s">
        <v>18</v>
      </c>
      <c r="K5" s="23" t="s">
        <v>19</v>
      </c>
    </row>
    <row r="6" spans="1:11" x14ac:dyDescent="0.2">
      <c r="A6" s="17">
        <v>0</v>
      </c>
      <c r="B6" s="33"/>
      <c r="C6" s="18"/>
      <c r="D6" s="18"/>
      <c r="E6" s="18"/>
      <c r="F6" s="18"/>
      <c r="G6" s="22"/>
      <c r="H6" s="19"/>
      <c r="I6" s="18"/>
      <c r="J6" s="18"/>
      <c r="K6" s="18"/>
    </row>
    <row r="7" spans="1:11" x14ac:dyDescent="0.2">
      <c r="A7" s="17">
        <v>1</v>
      </c>
      <c r="B7" s="18">
        <f t="shared" ref="B7:B9" si="0">$B$11/(1+$D$4)^($A$11-$A7)+B8</f>
        <v>0</v>
      </c>
      <c r="C7" s="18">
        <f>$C$11/(1+$D$4)^($A$11-A7)</f>
        <v>88.848704791568892</v>
      </c>
      <c r="D7" s="18">
        <f>B7+C7</f>
        <v>88.848704791568892</v>
      </c>
      <c r="E7" s="18">
        <f t="shared" ref="E7:E9" si="1">D7*$E$4</f>
        <v>35.539481916627558</v>
      </c>
      <c r="F7" s="18">
        <f t="shared" ref="F7:F10" si="2">D7-E7</f>
        <v>53.309222874941334</v>
      </c>
      <c r="G7" s="22">
        <f>G4</f>
        <v>1.2500000000000001E-2</v>
      </c>
      <c r="H7" s="19">
        <f>1-G7</f>
        <v>0.98750000000000004</v>
      </c>
      <c r="I7" s="18">
        <f>G7*F7</f>
        <v>0.66636528593676669</v>
      </c>
      <c r="J7" s="18">
        <f>1/(1+$J$4)^A7</f>
        <v>0.970873786407767</v>
      </c>
      <c r="K7" s="18">
        <f>J7*I7</f>
        <v>0.64695658828812297</v>
      </c>
    </row>
    <row r="8" spans="1:11" x14ac:dyDescent="0.2">
      <c r="A8" s="17">
        <v>2</v>
      </c>
      <c r="B8" s="18">
        <f t="shared" si="0"/>
        <v>0</v>
      </c>
      <c r="C8" s="18">
        <f t="shared" ref="C8:C9" si="3">$C$11/(1+$D$4)^($A$11-A8)</f>
        <v>91.514165935315958</v>
      </c>
      <c r="D8" s="18">
        <f t="shared" ref="D8:D9" si="4">B8+C8</f>
        <v>91.514165935315958</v>
      </c>
      <c r="E8" s="18">
        <f t="shared" si="1"/>
        <v>36.605666374126386</v>
      </c>
      <c r="F8" s="18">
        <f t="shared" si="2"/>
        <v>54.908499561189572</v>
      </c>
      <c r="G8" s="19">
        <f>$G$7*H7</f>
        <v>1.2343750000000001E-2</v>
      </c>
      <c r="H8" s="19">
        <f>(1-$G$4)^A8</f>
        <v>0.97515625000000006</v>
      </c>
      <c r="I8" s="18">
        <f t="shared" ref="I8:I11" si="5">G8*F8</f>
        <v>0.67777679145843384</v>
      </c>
      <c r="J8" s="18">
        <f t="shared" ref="J8:J11" si="6">1/(1+$J$4)^A8</f>
        <v>0.94259590913375435</v>
      </c>
      <c r="K8" s="18">
        <f t="shared" ref="K8:K11" si="7">J8*I8</f>
        <v>0.63886963093452143</v>
      </c>
    </row>
    <row r="9" spans="1:11" x14ac:dyDescent="0.2">
      <c r="A9" s="17">
        <v>3</v>
      </c>
      <c r="B9" s="18">
        <f t="shared" si="0"/>
        <v>0</v>
      </c>
      <c r="C9" s="18">
        <f t="shared" si="3"/>
        <v>94.259590913375433</v>
      </c>
      <c r="D9" s="18">
        <f t="shared" si="4"/>
        <v>94.259590913375433</v>
      </c>
      <c r="E9" s="18">
        <f t="shared" si="1"/>
        <v>37.703836365350178</v>
      </c>
      <c r="F9" s="18">
        <f t="shared" si="2"/>
        <v>56.555754548025256</v>
      </c>
      <c r="G9" s="19">
        <f t="shared" ref="G9:G11" si="8">$G$7*H8</f>
        <v>1.2189453125000001E-2</v>
      </c>
      <c r="H9" s="19">
        <f>(1-$G$4)^A9</f>
        <v>0.96296679687500009</v>
      </c>
      <c r="I9" s="18">
        <f t="shared" si="5"/>
        <v>0.68938371901215945</v>
      </c>
      <c r="J9" s="18">
        <f t="shared" si="6"/>
        <v>0.91514165935315961</v>
      </c>
      <c r="K9" s="18">
        <f t="shared" si="7"/>
        <v>0.6308837605478399</v>
      </c>
    </row>
    <row r="10" spans="1:11" x14ac:dyDescent="0.2">
      <c r="A10" s="17">
        <v>4</v>
      </c>
      <c r="B10" s="18">
        <f>$B$11/(1+$D$4)^($A$11-$A10)+B11</f>
        <v>0</v>
      </c>
      <c r="C10" s="18">
        <f>$C$11/(1+$D$4)^($A$11-$A10)</f>
        <v>97.087378640776691</v>
      </c>
      <c r="D10" s="18">
        <f>B10+C10</f>
        <v>97.087378640776691</v>
      </c>
      <c r="E10" s="18">
        <f>D10*$E$4</f>
        <v>38.834951456310677</v>
      </c>
      <c r="F10" s="18">
        <f t="shared" si="2"/>
        <v>58.252427184466015</v>
      </c>
      <c r="G10" s="19">
        <f t="shared" si="8"/>
        <v>1.2037084960937501E-2</v>
      </c>
      <c r="H10" s="19">
        <f>(1-$G$4)^A10</f>
        <v>0.95092971191406261</v>
      </c>
      <c r="I10" s="18">
        <f t="shared" si="5"/>
        <v>0.70118941520024269</v>
      </c>
      <c r="J10" s="18">
        <f t="shared" si="6"/>
        <v>0.888487047915689</v>
      </c>
      <c r="K10" s="18">
        <f t="shared" si="7"/>
        <v>0.62299771354099198</v>
      </c>
    </row>
    <row r="11" spans="1:11" x14ac:dyDescent="0.2">
      <c r="A11" s="17">
        <v>5</v>
      </c>
      <c r="B11" s="18">
        <v>0</v>
      </c>
      <c r="C11" s="18">
        <v>100</v>
      </c>
      <c r="D11" s="21">
        <f>B11+C11</f>
        <v>100</v>
      </c>
      <c r="E11" s="18">
        <f>D11*$E$4</f>
        <v>40</v>
      </c>
      <c r="F11" s="18">
        <f>D11-E11</f>
        <v>60</v>
      </c>
      <c r="G11" s="19">
        <f t="shared" si="8"/>
        <v>1.1886621398925783E-2</v>
      </c>
      <c r="H11" s="19">
        <f>(1-$G$4)^A11</f>
        <v>0.9390430905151369</v>
      </c>
      <c r="I11" s="18">
        <f t="shared" si="5"/>
        <v>0.71319728393554693</v>
      </c>
      <c r="J11" s="18">
        <f t="shared" si="6"/>
        <v>0.86260878438416411</v>
      </c>
      <c r="K11" s="18">
        <f t="shared" si="7"/>
        <v>0.6152102421217297</v>
      </c>
    </row>
    <row r="13" spans="1:11" x14ac:dyDescent="0.2">
      <c r="G13" s="22">
        <f>SUM(G7:G11)</f>
        <v>6.0956909484863285E-2</v>
      </c>
      <c r="J13" s="17" t="s">
        <v>20</v>
      </c>
      <c r="K13" s="21">
        <f>SUM(K7:K11)</f>
        <v>3.1549179354332058</v>
      </c>
    </row>
    <row r="16" spans="1:11" ht="15.75" x14ac:dyDescent="0.25">
      <c r="A16" s="67" t="s">
        <v>27</v>
      </c>
    </row>
    <row r="18" spans="1:16" x14ac:dyDescent="0.2">
      <c r="A18" s="24"/>
      <c r="B18" s="24"/>
      <c r="C18" s="24" t="s">
        <v>26</v>
      </c>
      <c r="D18" s="68">
        <v>2.5000000000000001E-2</v>
      </c>
      <c r="E18" s="69">
        <v>0.4</v>
      </c>
      <c r="F18" s="70"/>
      <c r="G18" s="68">
        <v>1.4999999999999999E-2</v>
      </c>
      <c r="H18" s="24"/>
      <c r="I18" s="24"/>
      <c r="J18" s="25">
        <f>D18</f>
        <v>2.5000000000000001E-2</v>
      </c>
      <c r="K18" s="24"/>
      <c r="O18" s="27" t="s">
        <v>30</v>
      </c>
    </row>
    <row r="19" spans="1:16" ht="38.25" x14ac:dyDescent="0.2">
      <c r="A19" s="23" t="s">
        <v>12</v>
      </c>
      <c r="B19" s="23" t="s">
        <v>23</v>
      </c>
      <c r="C19" s="23" t="s">
        <v>24</v>
      </c>
      <c r="D19" s="23" t="s">
        <v>25</v>
      </c>
      <c r="E19" s="23" t="s">
        <v>13</v>
      </c>
      <c r="F19" s="23" t="s">
        <v>14</v>
      </c>
      <c r="G19" s="23" t="s">
        <v>15</v>
      </c>
      <c r="H19" s="23" t="s">
        <v>16</v>
      </c>
      <c r="I19" s="23" t="s">
        <v>17</v>
      </c>
      <c r="J19" s="23" t="s">
        <v>18</v>
      </c>
      <c r="K19" s="23" t="s">
        <v>19</v>
      </c>
      <c r="M19" s="23" t="s">
        <v>36</v>
      </c>
      <c r="N19" s="23" t="s">
        <v>21</v>
      </c>
      <c r="O19" s="23" t="s">
        <v>22</v>
      </c>
      <c r="P19" s="23" t="s">
        <v>28</v>
      </c>
    </row>
    <row r="20" spans="1:16" x14ac:dyDescent="0.2">
      <c r="A20" s="17">
        <v>0</v>
      </c>
      <c r="B20" s="18"/>
      <c r="C20" s="18"/>
      <c r="D20" s="18"/>
      <c r="E20" s="18"/>
      <c r="F20" s="18"/>
      <c r="G20" s="28"/>
      <c r="H20" s="19"/>
      <c r="I20" s="18"/>
      <c r="J20" s="18"/>
      <c r="K20" s="18"/>
      <c r="M20" s="17"/>
    </row>
    <row r="21" spans="1:16" x14ac:dyDescent="0.2">
      <c r="A21" s="17">
        <v>1</v>
      </c>
      <c r="B21" s="18">
        <f>$B$23/(1+$D$18)^($A$23-$A21)+B22</f>
        <v>14.637120761451518</v>
      </c>
      <c r="C21" s="18">
        <f>$C$23/(1+$D$18)^($A$23-$A21)</f>
        <v>95.181439619274244</v>
      </c>
      <c r="D21" s="18">
        <f>B21+C21</f>
        <v>109.81856038072576</v>
      </c>
      <c r="E21" s="18">
        <f t="shared" ref="E21:E22" si="9">D21*$E$18</f>
        <v>43.927424152290307</v>
      </c>
      <c r="F21" s="18">
        <f t="shared" ref="F21:F22" si="10">D21-E21</f>
        <v>65.891136228435442</v>
      </c>
      <c r="G21" s="28">
        <f>G18</f>
        <v>1.4999999999999999E-2</v>
      </c>
      <c r="H21" s="19">
        <f>(1-$G$21)^A21</f>
        <v>0.98499999999999999</v>
      </c>
      <c r="I21" s="18">
        <f t="shared" ref="I21:I23" si="11">G21*F21</f>
        <v>0.98836704342653159</v>
      </c>
      <c r="J21" s="18">
        <f>1/(1+$J$18)^A21</f>
        <v>0.97560975609756106</v>
      </c>
      <c r="K21" s="18">
        <f t="shared" ref="K21:K23" si="12">J21*I21</f>
        <v>0.96426053017222602</v>
      </c>
      <c r="M21" s="17">
        <v>1</v>
      </c>
      <c r="N21" s="29">
        <f>N22</f>
        <v>5</v>
      </c>
      <c r="P21" s="30">
        <f>(N21+O21)*J21</f>
        <v>4.8780487804878057</v>
      </c>
    </row>
    <row r="22" spans="1:16" x14ac:dyDescent="0.2">
      <c r="A22" s="17">
        <v>2</v>
      </c>
      <c r="B22" s="18">
        <f>$B$23/(1+$D$18)^($A$23-$A22)+B23</f>
        <v>9.8780487804878057</v>
      </c>
      <c r="C22" s="18">
        <f>$C$23/(1+$D$18)^($A$23-$A22)</f>
        <v>97.560975609756099</v>
      </c>
      <c r="D22" s="18">
        <f>B22+C22</f>
        <v>107.4390243902439</v>
      </c>
      <c r="E22" s="18">
        <f t="shared" si="9"/>
        <v>42.975609756097562</v>
      </c>
      <c r="F22" s="18">
        <f t="shared" si="10"/>
        <v>64.463414634146346</v>
      </c>
      <c r="G22" s="19">
        <f>$G$21*H21</f>
        <v>1.4775E-2</v>
      </c>
      <c r="H22" s="19">
        <f>(1-$G$21)^A22</f>
        <v>0.970225</v>
      </c>
      <c r="I22" s="18">
        <f t="shared" si="11"/>
        <v>0.95244695121951228</v>
      </c>
      <c r="J22" s="18">
        <f t="shared" ref="J22:J23" si="13">1/(1+$J$18)^A22</f>
        <v>0.95181439619274244</v>
      </c>
      <c r="K22" s="18">
        <f t="shared" si="12"/>
        <v>0.90655271978061847</v>
      </c>
      <c r="M22" s="17">
        <v>2</v>
      </c>
      <c r="N22" s="29">
        <f>N23</f>
        <v>5</v>
      </c>
      <c r="P22" s="30">
        <f t="shared" ref="P22:P23" si="14">(N22+O22)*J22</f>
        <v>4.7590719809637125</v>
      </c>
    </row>
    <row r="23" spans="1:16" x14ac:dyDescent="0.2">
      <c r="A23" s="17">
        <v>3</v>
      </c>
      <c r="B23" s="72">
        <v>5</v>
      </c>
      <c r="C23" s="18">
        <v>100</v>
      </c>
      <c r="D23" s="21">
        <f>B23+C23</f>
        <v>105</v>
      </c>
      <c r="E23" s="18">
        <f>D23*$E$18</f>
        <v>42</v>
      </c>
      <c r="F23" s="18">
        <f>D23-E23</f>
        <v>63</v>
      </c>
      <c r="G23" s="19">
        <f>$G$21*H22</f>
        <v>1.4553375E-2</v>
      </c>
      <c r="H23" s="19">
        <f t="shared" ref="H23" si="15">(1-$G$21)^A23</f>
        <v>0.95567162500000002</v>
      </c>
      <c r="I23" s="18">
        <f t="shared" si="11"/>
        <v>0.91686262500000004</v>
      </c>
      <c r="J23" s="18">
        <f t="shared" si="13"/>
        <v>0.92859941091974885</v>
      </c>
      <c r="K23" s="18">
        <f t="shared" si="12"/>
        <v>0.85139809346933459</v>
      </c>
      <c r="M23" s="17">
        <v>3</v>
      </c>
      <c r="N23" s="29">
        <f>B23</f>
        <v>5</v>
      </c>
      <c r="O23">
        <v>100</v>
      </c>
      <c r="P23" s="30">
        <f t="shared" si="14"/>
        <v>97.502938146573626</v>
      </c>
    </row>
    <row r="24" spans="1:16" x14ac:dyDescent="0.2">
      <c r="G24" s="20"/>
      <c r="P24" s="30"/>
    </row>
    <row r="25" spans="1:16" x14ac:dyDescent="0.2">
      <c r="F25" s="17" t="s">
        <v>33</v>
      </c>
      <c r="G25" s="22">
        <f>SUM(G21:G23)</f>
        <v>4.4328375000000003E-2</v>
      </c>
      <c r="J25" s="32" t="s">
        <v>20</v>
      </c>
      <c r="K25" s="21">
        <f>SUM(K21:K23)</f>
        <v>2.7222113434221793</v>
      </c>
      <c r="O25" t="s">
        <v>29</v>
      </c>
      <c r="P25" s="31">
        <f>SUM(P21:P23)</f>
        <v>107.14005890802514</v>
      </c>
    </row>
    <row r="28" spans="1:16" x14ac:dyDescent="0.2">
      <c r="J28" s="32" t="s">
        <v>31</v>
      </c>
      <c r="K28" s="21">
        <f>P25-K25</f>
        <v>104.41784756460297</v>
      </c>
      <c r="P28" s="71"/>
    </row>
    <row r="30" spans="1:16" x14ac:dyDescent="0.2">
      <c r="A30" s="27" t="s">
        <v>35</v>
      </c>
      <c r="B30" s="34" t="s">
        <v>34</v>
      </c>
    </row>
    <row r="31" spans="1:16" x14ac:dyDescent="0.2">
      <c r="A31" s="27"/>
      <c r="B31" s="34"/>
    </row>
    <row r="32" spans="1:16" x14ac:dyDescent="0.2">
      <c r="D32" s="49" t="s">
        <v>71</v>
      </c>
      <c r="E32" s="50" t="s">
        <v>72</v>
      </c>
      <c r="G32" s="50" t="s">
        <v>74</v>
      </c>
    </row>
    <row r="33" spans="1:17" x14ac:dyDescent="0.2">
      <c r="A33" s="24"/>
      <c r="B33" s="24"/>
      <c r="D33" s="47">
        <v>2.5000000000000001E-2</v>
      </c>
      <c r="E33" s="48">
        <v>0.4</v>
      </c>
      <c r="F33" s="24"/>
      <c r="G33" s="47">
        <v>0.05</v>
      </c>
      <c r="H33" s="24"/>
      <c r="I33" s="24"/>
      <c r="J33" s="47">
        <f>D33</f>
        <v>2.5000000000000001E-2</v>
      </c>
      <c r="K33" s="24"/>
      <c r="M33" s="35" t="s">
        <v>30</v>
      </c>
    </row>
    <row r="34" spans="1:17" s="46" customFormat="1" ht="21.75" customHeight="1" x14ac:dyDescent="0.2">
      <c r="A34" s="45" t="s">
        <v>58</v>
      </c>
      <c r="B34" s="45" t="s">
        <v>59</v>
      </c>
      <c r="C34" s="45" t="s">
        <v>60</v>
      </c>
      <c r="D34" s="45" t="s">
        <v>61</v>
      </c>
      <c r="E34" s="45" t="s">
        <v>62</v>
      </c>
      <c r="F34" s="45" t="s">
        <v>63</v>
      </c>
      <c r="G34" s="45" t="s">
        <v>64</v>
      </c>
      <c r="H34" s="45" t="s">
        <v>65</v>
      </c>
      <c r="I34" s="45" t="s">
        <v>66</v>
      </c>
      <c r="J34" s="45" t="s">
        <v>67</v>
      </c>
      <c r="K34" s="45" t="s">
        <v>68</v>
      </c>
      <c r="M34" s="44"/>
    </row>
    <row r="35" spans="1:17" ht="38.25" x14ac:dyDescent="0.2">
      <c r="A35" s="23" t="s">
        <v>36</v>
      </c>
      <c r="B35" s="23" t="s">
        <v>23</v>
      </c>
      <c r="C35" s="23" t="s">
        <v>24</v>
      </c>
      <c r="D35" s="23" t="s">
        <v>25</v>
      </c>
      <c r="E35" s="23" t="s">
        <v>13</v>
      </c>
      <c r="F35" s="23" t="s">
        <v>14</v>
      </c>
      <c r="G35" s="23" t="s">
        <v>15</v>
      </c>
      <c r="H35" s="23" t="s">
        <v>16</v>
      </c>
      <c r="I35" s="23" t="s">
        <v>17</v>
      </c>
      <c r="J35" s="23" t="s">
        <v>18</v>
      </c>
      <c r="K35" s="23" t="s">
        <v>19</v>
      </c>
      <c r="M35" s="23" t="s">
        <v>36</v>
      </c>
      <c r="N35" s="23" t="s">
        <v>21</v>
      </c>
      <c r="O35" s="23" t="s">
        <v>22</v>
      </c>
      <c r="P35" s="23" t="s">
        <v>18</v>
      </c>
      <c r="Q35" s="23" t="s">
        <v>37</v>
      </c>
    </row>
    <row r="36" spans="1:17" s="53" customFormat="1" ht="36" customHeight="1" x14ac:dyDescent="0.2">
      <c r="A36" s="51"/>
      <c r="B36" s="52" t="s">
        <v>56</v>
      </c>
      <c r="C36" s="52" t="s">
        <v>57</v>
      </c>
      <c r="D36" s="52" t="s">
        <v>69</v>
      </c>
      <c r="E36" s="52" t="s">
        <v>70</v>
      </c>
      <c r="F36" s="52" t="s">
        <v>73</v>
      </c>
      <c r="G36" s="52" t="s">
        <v>75</v>
      </c>
      <c r="H36" s="53" t="s">
        <v>76</v>
      </c>
      <c r="I36" s="52" t="s">
        <v>77</v>
      </c>
      <c r="J36" s="52" t="s">
        <v>79</v>
      </c>
      <c r="K36" s="52" t="s">
        <v>78</v>
      </c>
      <c r="M36" s="51"/>
      <c r="N36" s="51"/>
      <c r="O36" s="51"/>
      <c r="P36" s="51"/>
      <c r="Q36" s="51"/>
    </row>
    <row r="37" spans="1:17" x14ac:dyDescent="0.2">
      <c r="A37" s="17">
        <v>0</v>
      </c>
      <c r="B37" s="18"/>
      <c r="C37" s="18"/>
      <c r="D37" s="18"/>
      <c r="E37" s="18"/>
      <c r="F37" s="18"/>
      <c r="G37" s="19"/>
      <c r="H37" s="19"/>
      <c r="I37" s="18"/>
      <c r="J37" s="18"/>
      <c r="K37" s="18"/>
      <c r="M37" s="17">
        <v>0</v>
      </c>
      <c r="P37" s="17"/>
    </row>
    <row r="38" spans="1:17" x14ac:dyDescent="0.2">
      <c r="A38" s="17">
        <v>1</v>
      </c>
      <c r="B38" s="18">
        <f>$B$40/(1+$D$33)^($A$40-$A38)+B39</f>
        <v>17.564544913741823</v>
      </c>
      <c r="C38" s="18">
        <f>$C$23/(1+$D$33)^($A$23-$A38)</f>
        <v>95.181439619274244</v>
      </c>
      <c r="D38" s="18">
        <f>B38+C38</f>
        <v>112.74598453301607</v>
      </c>
      <c r="E38" s="18">
        <f>D38*$E$33</f>
        <v>45.098393813206428</v>
      </c>
      <c r="F38" s="18">
        <f t="shared" ref="F38:F39" si="16">D38-E38</f>
        <v>67.647590719809642</v>
      </c>
      <c r="G38" s="28">
        <f>G33</f>
        <v>0.05</v>
      </c>
      <c r="H38" s="19">
        <f>(1-$G$38)^A38</f>
        <v>0.95</v>
      </c>
      <c r="I38" s="18">
        <f>G38*F38</f>
        <v>3.3823795359904825</v>
      </c>
      <c r="J38" s="18">
        <f>1/(1+$J$33)^A38</f>
        <v>0.97560975609756106</v>
      </c>
      <c r="K38" s="18">
        <f t="shared" ref="K38:K40" si="17">J38*I38</f>
        <v>3.2998824741370565</v>
      </c>
      <c r="M38" s="17">
        <v>1</v>
      </c>
      <c r="N38" s="29">
        <f>N39</f>
        <v>6</v>
      </c>
      <c r="P38" s="18">
        <f>J38</f>
        <v>0.97560975609756106</v>
      </c>
      <c r="Q38" s="30">
        <f>(N38+O38)*P38</f>
        <v>5.8536585365853666</v>
      </c>
    </row>
    <row r="39" spans="1:17" x14ac:dyDescent="0.2">
      <c r="A39" s="17">
        <v>2</v>
      </c>
      <c r="B39" s="18">
        <f>$B$40/(1+$D$33)^($A$40-$A39)+B40</f>
        <v>11.853658536585368</v>
      </c>
      <c r="C39" s="18">
        <f>$C$23/(1+$D$33)^($A$23-$A39)</f>
        <v>97.560975609756099</v>
      </c>
      <c r="D39" s="18">
        <f>B39+C39</f>
        <v>109.41463414634147</v>
      </c>
      <c r="E39" s="18">
        <f t="shared" ref="E39:E40" si="18">D39*$E$33</f>
        <v>43.765853658536592</v>
      </c>
      <c r="F39" s="18">
        <f t="shared" si="16"/>
        <v>65.648780487804885</v>
      </c>
      <c r="G39" s="19">
        <f>$G$38*H38</f>
        <v>4.7500000000000001E-2</v>
      </c>
      <c r="H39" s="19">
        <f>(1-$G$38)^A39</f>
        <v>0.90249999999999997</v>
      </c>
      <c r="I39" s="18">
        <f t="shared" ref="I39:I40" si="19">G39*F39</f>
        <v>3.1183170731707319</v>
      </c>
      <c r="J39" s="18">
        <f>1/(1+$J$33)^A39</f>
        <v>0.95181439619274244</v>
      </c>
      <c r="K39" s="18">
        <f t="shared" si="17"/>
        <v>2.9680590821375201</v>
      </c>
      <c r="M39" s="17">
        <v>2</v>
      </c>
      <c r="N39" s="29">
        <f>N40</f>
        <v>6</v>
      </c>
      <c r="P39" s="18">
        <f t="shared" ref="P39:P40" si="20">J39</f>
        <v>0.95181439619274244</v>
      </c>
      <c r="Q39" s="30">
        <f t="shared" ref="Q39:Q40" si="21">(N39+O39)*P39</f>
        <v>5.7108863771564549</v>
      </c>
    </row>
    <row r="40" spans="1:17" x14ac:dyDescent="0.2">
      <c r="A40" s="17">
        <v>3</v>
      </c>
      <c r="B40" s="18">
        <v>6</v>
      </c>
      <c r="C40" s="18">
        <v>100</v>
      </c>
      <c r="D40" s="21">
        <f>B40+C40</f>
        <v>106</v>
      </c>
      <c r="E40" s="18">
        <f t="shared" si="18"/>
        <v>42.400000000000006</v>
      </c>
      <c r="F40" s="18">
        <f>D40-E40</f>
        <v>63.599999999999994</v>
      </c>
      <c r="G40" s="19">
        <f>$G$38*H39</f>
        <v>4.5124999999999998E-2</v>
      </c>
      <c r="H40" s="19">
        <f>(1-$G$38)^A40</f>
        <v>0.85737499999999989</v>
      </c>
      <c r="I40" s="18">
        <f t="shared" si="19"/>
        <v>2.8699499999999998</v>
      </c>
      <c r="J40" s="18">
        <f>1/(1+$J$33)^A40</f>
        <v>0.92859941091974885</v>
      </c>
      <c r="K40" s="18">
        <f t="shared" si="17"/>
        <v>2.6650338793691328</v>
      </c>
      <c r="M40" s="17">
        <v>3</v>
      </c>
      <c r="N40" s="29">
        <f>B40</f>
        <v>6</v>
      </c>
      <c r="O40">
        <v>100</v>
      </c>
      <c r="P40" s="18">
        <f t="shared" si="20"/>
        <v>0.92859941091974885</v>
      </c>
      <c r="Q40" s="30">
        <f t="shared" si="21"/>
        <v>98.431537557493371</v>
      </c>
    </row>
    <row r="41" spans="1:17" x14ac:dyDescent="0.2">
      <c r="G41" s="20"/>
      <c r="Q41" s="30"/>
    </row>
    <row r="42" spans="1:17" x14ac:dyDescent="0.2">
      <c r="F42" s="17" t="s">
        <v>33</v>
      </c>
      <c r="G42" s="22">
        <f>SUM(G38:G40)</f>
        <v>0.142625</v>
      </c>
      <c r="H42" s="20"/>
      <c r="J42" s="32" t="s">
        <v>20</v>
      </c>
      <c r="K42" s="21">
        <f>SUM(K38:K40)</f>
        <v>8.9329754356437103</v>
      </c>
      <c r="O42" t="s">
        <v>29</v>
      </c>
      <c r="Q42" s="31">
        <f>SUM(Q38:Q40)</f>
        <v>109.9960824712352</v>
      </c>
    </row>
    <row r="45" spans="1:17" x14ac:dyDescent="0.2">
      <c r="J45" s="32" t="s">
        <v>31</v>
      </c>
      <c r="K45" s="21">
        <f>Q42-K42</f>
        <v>101.06310703559149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4604-8ED9-4EFC-A492-396D9016AFC2}">
  <dimension ref="A1:I20"/>
  <sheetViews>
    <sheetView topLeftCell="A8" workbookViewId="0">
      <selection activeCell="E23" sqref="E23"/>
    </sheetView>
  </sheetViews>
  <sheetFormatPr defaultRowHeight="12.75" x14ac:dyDescent="0.2"/>
  <cols>
    <col min="1" max="1" width="18.7109375" customWidth="1"/>
    <col min="2" max="9" width="12.5703125" customWidth="1"/>
    <col min="15" max="15" width="12.140625" customWidth="1"/>
  </cols>
  <sheetData>
    <row r="1" spans="1:9" ht="18" customHeight="1" x14ac:dyDescent="0.2"/>
    <row r="2" spans="1:9" ht="18" customHeight="1" x14ac:dyDescent="0.25">
      <c r="A2" s="42" t="s">
        <v>48</v>
      </c>
    </row>
    <row r="3" spans="1:9" s="16" customFormat="1" ht="33.75" customHeight="1" x14ac:dyDescent="0.2">
      <c r="B3" s="39" t="s">
        <v>38</v>
      </c>
      <c r="C3" s="39" t="s">
        <v>39</v>
      </c>
      <c r="D3" s="39" t="s">
        <v>40</v>
      </c>
      <c r="E3" s="39" t="s">
        <v>41</v>
      </c>
      <c r="F3" s="39" t="s">
        <v>43</v>
      </c>
      <c r="G3" s="39" t="s">
        <v>44</v>
      </c>
      <c r="H3" s="39" t="s">
        <v>42</v>
      </c>
      <c r="I3" s="39" t="s">
        <v>45</v>
      </c>
    </row>
    <row r="4" spans="1:9" ht="18" customHeight="1" x14ac:dyDescent="0.2">
      <c r="A4" s="40" t="s">
        <v>38</v>
      </c>
      <c r="B4" s="38">
        <v>0.9</v>
      </c>
      <c r="C4" s="36">
        <v>0.09</v>
      </c>
      <c r="D4" s="36">
        <v>6.0000000000000001E-3</v>
      </c>
      <c r="E4" s="36">
        <v>1.5E-3</v>
      </c>
      <c r="F4" s="36">
        <v>1E-3</v>
      </c>
      <c r="G4" s="36">
        <v>1E-3</v>
      </c>
      <c r="H4" s="36">
        <v>5.0000000000000001E-4</v>
      </c>
      <c r="I4" s="36">
        <v>0</v>
      </c>
    </row>
    <row r="5" spans="1:9" ht="18" customHeight="1" x14ac:dyDescent="0.2">
      <c r="A5" s="40" t="s">
        <v>39</v>
      </c>
      <c r="B5" s="36">
        <v>1.4999999999999999E-2</v>
      </c>
      <c r="C5" s="38">
        <v>0.88</v>
      </c>
      <c r="D5" s="36">
        <v>9.5000000000000001E-2</v>
      </c>
      <c r="E5" s="36">
        <v>7.4999999999999997E-3</v>
      </c>
      <c r="F5" s="36">
        <v>1.5E-3</v>
      </c>
      <c r="G5" s="36">
        <v>5.0000000000000001E-4</v>
      </c>
      <c r="H5" s="36">
        <v>2.9999999999999997E-4</v>
      </c>
      <c r="I5" s="36">
        <v>2.0000000000000001E-4</v>
      </c>
    </row>
    <row r="6" spans="1:9" ht="18" customHeight="1" x14ac:dyDescent="0.2">
      <c r="A6" s="40" t="s">
        <v>40</v>
      </c>
      <c r="B6" s="36">
        <v>5.0000000000000001E-4</v>
      </c>
      <c r="C6" s="36">
        <v>2.5000000000000001E-2</v>
      </c>
      <c r="D6" s="38">
        <v>0.875</v>
      </c>
      <c r="E6" s="36">
        <v>8.4000000000000005E-2</v>
      </c>
      <c r="F6" s="36">
        <v>7.4999999999999997E-3</v>
      </c>
      <c r="G6" s="36">
        <v>6.0000000000000001E-3</v>
      </c>
      <c r="H6" s="36">
        <v>1.1999999999999999E-3</v>
      </c>
      <c r="I6" s="36">
        <v>8.0000000000000004E-4</v>
      </c>
    </row>
    <row r="7" spans="1:9" ht="18" customHeight="1" x14ac:dyDescent="0.2">
      <c r="A7" s="40" t="s">
        <v>41</v>
      </c>
      <c r="B7" s="36">
        <v>2.0000000000000001E-4</v>
      </c>
      <c r="C7" s="36">
        <v>3.0000000000000001E-3</v>
      </c>
      <c r="D7" s="36">
        <v>4.8000000000000001E-2</v>
      </c>
      <c r="E7" s="38">
        <v>0.85499999999999998</v>
      </c>
      <c r="F7" s="36">
        <v>6.9500000000000006E-2</v>
      </c>
      <c r="G7" s="36">
        <v>1.7500000000000002E-2</v>
      </c>
      <c r="H7" s="36">
        <v>4.4999999999999997E-3</v>
      </c>
      <c r="I7" s="36">
        <v>2.3E-3</v>
      </c>
    </row>
    <row r="8" spans="1:9" ht="18" customHeight="1" x14ac:dyDescent="0.2">
      <c r="A8" s="40" t="s">
        <v>43</v>
      </c>
      <c r="B8" s="36">
        <v>1E-4</v>
      </c>
      <c r="C8" s="36">
        <v>5.9999999999999995E-4</v>
      </c>
      <c r="D8" s="36">
        <v>3.0000000000000001E-3</v>
      </c>
      <c r="E8" s="36">
        <v>7.7499999999999999E-2</v>
      </c>
      <c r="F8" s="38">
        <v>0.79500000000000004</v>
      </c>
      <c r="G8" s="36">
        <v>8.7499999999999994E-2</v>
      </c>
      <c r="H8" s="36">
        <v>2.3800000000000002E-2</v>
      </c>
      <c r="I8" s="36">
        <v>1.2500000000000001E-2</v>
      </c>
    </row>
    <row r="9" spans="1:9" ht="18" customHeight="1" x14ac:dyDescent="0.2">
      <c r="A9" s="40" t="s">
        <v>44</v>
      </c>
      <c r="B9" s="36">
        <v>0</v>
      </c>
      <c r="C9" s="36">
        <v>5.0000000000000001E-4</v>
      </c>
      <c r="D9" s="36">
        <v>1.5E-3</v>
      </c>
      <c r="E9" s="36">
        <v>1.4E-2</v>
      </c>
      <c r="F9" s="36">
        <v>9.1499999999999998E-2</v>
      </c>
      <c r="G9" s="38">
        <v>0.76600000000000001</v>
      </c>
      <c r="H9" s="36">
        <v>8.4500000000000006E-2</v>
      </c>
      <c r="I9" s="36">
        <v>4.2000000000000003E-2</v>
      </c>
    </row>
    <row r="10" spans="1:9" ht="18" customHeight="1" x14ac:dyDescent="0.2">
      <c r="A10" s="40" t="s">
        <v>42</v>
      </c>
      <c r="B10" s="36">
        <v>0</v>
      </c>
      <c r="C10" s="36">
        <v>1E-4</v>
      </c>
      <c r="D10" s="36">
        <v>1.1999999999999999E-3</v>
      </c>
      <c r="E10" s="36">
        <v>8.6999999999999994E-3</v>
      </c>
      <c r="F10" s="36">
        <v>1.6500000000000001E-2</v>
      </c>
      <c r="G10" s="36">
        <v>0.185</v>
      </c>
      <c r="H10" s="38">
        <v>0.49249999999999999</v>
      </c>
      <c r="I10" s="36">
        <v>0.29600000000000004</v>
      </c>
    </row>
    <row r="11" spans="1:9" ht="18" customHeight="1" x14ac:dyDescent="0.2">
      <c r="A11" s="40"/>
      <c r="B11" s="17"/>
      <c r="C11" s="17"/>
      <c r="D11" s="17"/>
      <c r="E11" s="17"/>
      <c r="F11" s="17"/>
      <c r="G11" s="17"/>
      <c r="H11" s="17"/>
      <c r="I11" s="17"/>
    </row>
    <row r="12" spans="1:9" ht="18" customHeight="1" x14ac:dyDescent="0.2">
      <c r="A12" s="40" t="s">
        <v>46</v>
      </c>
      <c r="B12" s="41">
        <v>60</v>
      </c>
      <c r="C12" s="41">
        <v>90</v>
      </c>
      <c r="D12" s="41">
        <v>110</v>
      </c>
      <c r="E12" s="41">
        <v>150</v>
      </c>
      <c r="F12" s="41">
        <v>340</v>
      </c>
      <c r="G12" s="41">
        <v>650</v>
      </c>
      <c r="H12" s="41">
        <v>950</v>
      </c>
      <c r="I12" s="37"/>
    </row>
    <row r="13" spans="1:9" ht="18" customHeight="1" x14ac:dyDescent="0.2">
      <c r="A13" s="40" t="s">
        <v>47</v>
      </c>
    </row>
    <row r="14" spans="1:9" ht="18" customHeight="1" x14ac:dyDescent="0.2"/>
    <row r="15" spans="1:9" ht="18" customHeight="1" x14ac:dyDescent="0.2"/>
    <row r="16" spans="1:9" ht="18" customHeight="1" x14ac:dyDescent="0.2">
      <c r="B16" t="s">
        <v>49</v>
      </c>
      <c r="C16" t="s">
        <v>51</v>
      </c>
      <c r="D16" t="s">
        <v>50</v>
      </c>
      <c r="E16" t="s">
        <v>52</v>
      </c>
    </row>
    <row r="17" spans="1:5" ht="18" customHeight="1" x14ac:dyDescent="0.2">
      <c r="A17" t="s">
        <v>53</v>
      </c>
      <c r="B17">
        <v>7.5</v>
      </c>
      <c r="C17">
        <v>150</v>
      </c>
      <c r="D17">
        <v>340</v>
      </c>
      <c r="E17" s="43">
        <f>(B17*(C17-D17))/10000</f>
        <v>-0.14249999999999999</v>
      </c>
    </row>
    <row r="18" spans="1:5" ht="18" customHeight="1" x14ac:dyDescent="0.2">
      <c r="A18" t="s">
        <v>54</v>
      </c>
      <c r="B18">
        <v>7.5</v>
      </c>
      <c r="C18">
        <v>150</v>
      </c>
      <c r="D18">
        <v>110</v>
      </c>
      <c r="E18" s="43">
        <f>(B18*(C18-D18))/10000</f>
        <v>0.03</v>
      </c>
    </row>
    <row r="19" spans="1:5" ht="18" customHeight="1" x14ac:dyDescent="0.2"/>
    <row r="20" spans="1:5" ht="18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LM2 Binary Tree Intros</vt:lpstr>
      <vt:lpstr>Binary Trees, OAS, callables</vt:lpstr>
      <vt:lpstr>CVA Calculation</vt:lpstr>
      <vt:lpstr>Credit Transition Matrix</vt:lpstr>
      <vt:lpstr>OAS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Stutz</dc:creator>
  <cp:lastModifiedBy>Peter Stutz</cp:lastModifiedBy>
  <dcterms:created xsi:type="dcterms:W3CDTF">2018-04-03T16:35:14Z</dcterms:created>
  <dcterms:modified xsi:type="dcterms:W3CDTF">2025-04-21T17:42:19Z</dcterms:modified>
</cp:coreProperties>
</file>